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.xml" ContentType="application/vnd.openxmlformats-officedocument.drawingml.chart+xml"/>
  <Override PartName="/xl/drawings/drawing1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 tabRatio="815" firstSheet="9" activeTab="19"/>
  </bookViews>
  <sheets>
    <sheet name="Lesson 01" sheetId="1" r:id="rId1"/>
    <sheet name="Lesson 02" sheetId="2" r:id="rId2"/>
    <sheet name="Lesson 03" sheetId="3" r:id="rId3"/>
    <sheet name="Lesson 04" sheetId="4" r:id="rId4"/>
    <sheet name="Lesson 05" sheetId="5" r:id="rId5"/>
    <sheet name="Lesson 06" sheetId="6" r:id="rId6"/>
    <sheet name="Lesson 07" sheetId="7" r:id="rId7"/>
    <sheet name="Lesson 08" sheetId="8" r:id="rId8"/>
    <sheet name="Lesson 09" sheetId="10" r:id="rId9"/>
    <sheet name="Lesson 10" sheetId="11" r:id="rId10"/>
    <sheet name="Lesson 11" sheetId="12" r:id="rId11"/>
    <sheet name="Lesson 12" sheetId="13" r:id="rId12"/>
    <sheet name="Lesson 13" sheetId="17" r:id="rId13"/>
    <sheet name="Lesson 14" sheetId="14" r:id="rId14"/>
    <sheet name="Lesson15" sheetId="18" r:id="rId15"/>
    <sheet name="Lesson 16" sheetId="15" r:id="rId16"/>
    <sheet name="Lesson 17" sheetId="16" r:id="rId17"/>
    <sheet name="Lesson 18" sheetId="19" r:id="rId18"/>
    <sheet name="Sheet1" sheetId="20" r:id="rId19"/>
    <sheet name="Sheet2" sheetId="21" r:id="rId20"/>
    <sheet name="Sheet3" sheetId="22" r:id="rId21"/>
  </sheets>
  <externalReferences>
    <externalReference r:id="rId22"/>
  </externalReferences>
  <calcPr calcId="144525"/>
</workbook>
</file>

<file path=xl/calcChain.xml><?xml version="1.0" encoding="utf-8"?>
<calcChain xmlns="http://schemas.openxmlformats.org/spreadsheetml/2006/main">
  <c r="F5" i="21" l="1"/>
  <c r="F6" i="21"/>
  <c r="F7" i="21"/>
  <c r="F8" i="21"/>
  <c r="F9" i="21"/>
  <c r="F10" i="21"/>
  <c r="F11" i="21"/>
  <c r="F4" i="21"/>
  <c r="L8" i="21"/>
  <c r="L9" i="21"/>
  <c r="L10" i="21"/>
  <c r="L11" i="21"/>
  <c r="L12" i="21"/>
  <c r="L13" i="21"/>
  <c r="L14" i="21"/>
  <c r="L15" i="21"/>
  <c r="L16" i="21"/>
  <c r="L17" i="21"/>
  <c r="K9" i="21"/>
  <c r="K10" i="21"/>
  <c r="K11" i="21"/>
  <c r="K12" i="21"/>
  <c r="K13" i="21"/>
  <c r="K14" i="21"/>
  <c r="K15" i="21"/>
  <c r="K16" i="21"/>
  <c r="K17" i="21"/>
  <c r="K8" i="21"/>
  <c r="E5" i="21"/>
  <c r="E6" i="21"/>
  <c r="E7" i="21"/>
  <c r="E8" i="21"/>
  <c r="E9" i="21"/>
  <c r="E10" i="21"/>
  <c r="E11" i="21"/>
  <c r="E4" i="21"/>
  <c r="D5" i="21"/>
  <c r="D6" i="21"/>
  <c r="D7" i="21"/>
  <c r="D8" i="21"/>
  <c r="D9" i="21"/>
  <c r="D10" i="21"/>
  <c r="D11" i="21"/>
  <c r="D4" i="21"/>
  <c r="L7" i="2" l="1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6" i="2"/>
  <c r="J25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6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F11" i="22" l="1"/>
  <c r="F10" i="22"/>
  <c r="F9" i="22"/>
  <c r="H9" i="22" s="1"/>
  <c r="I9" i="22" s="1"/>
  <c r="H10" i="22"/>
  <c r="H11" i="22"/>
  <c r="H8" i="22"/>
  <c r="H7" i="22"/>
  <c r="I7" i="22"/>
  <c r="H6" i="22"/>
  <c r="G17" i="22"/>
  <c r="I6" i="22"/>
  <c r="G7" i="22"/>
  <c r="G8" i="22"/>
  <c r="G9" i="22"/>
  <c r="G10" i="22"/>
  <c r="G11" i="22"/>
  <c r="G12" i="22"/>
  <c r="G13" i="22"/>
  <c r="G14" i="22"/>
  <c r="G15" i="22"/>
  <c r="G16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6" i="22"/>
  <c r="F7" i="22"/>
  <c r="H9" i="13"/>
  <c r="F8" i="22" l="1"/>
  <c r="I8" i="22"/>
  <c r="F5" i="20"/>
  <c r="F6" i="20"/>
  <c r="F4" i="20"/>
  <c r="E5" i="20"/>
  <c r="E6" i="20"/>
  <c r="E4" i="20"/>
  <c r="D5" i="20"/>
  <c r="D6" i="20"/>
  <c r="D4" i="20"/>
  <c r="I10" i="22" l="1"/>
  <c r="I45" i="2"/>
  <c r="I42" i="2"/>
  <c r="I43" i="2"/>
  <c r="I11" i="22" l="1"/>
  <c r="F12" i="22" s="1"/>
  <c r="I39" i="2"/>
  <c r="H12" i="22" l="1"/>
  <c r="I12" i="22" s="1"/>
  <c r="F13" i="22" s="1"/>
  <c r="J14" i="13"/>
  <c r="H13" i="22" l="1"/>
  <c r="D24" i="16"/>
  <c r="E24" i="16"/>
  <c r="F24" i="16"/>
  <c r="G24" i="16"/>
  <c r="H24" i="16"/>
  <c r="C24" i="16"/>
  <c r="D22" i="16"/>
  <c r="E22" i="16"/>
  <c r="F22" i="16"/>
  <c r="G22" i="16"/>
  <c r="H22" i="16"/>
  <c r="C22" i="16"/>
  <c r="D13" i="16"/>
  <c r="E13" i="16"/>
  <c r="F13" i="16"/>
  <c r="G13" i="16"/>
  <c r="H13" i="16"/>
  <c r="C13" i="16"/>
  <c r="H18" i="16"/>
  <c r="H19" i="16"/>
  <c r="H20" i="16"/>
  <c r="H21" i="16"/>
  <c r="H17" i="16"/>
  <c r="G21" i="16"/>
  <c r="G18" i="16"/>
  <c r="G19" i="16"/>
  <c r="G20" i="16"/>
  <c r="G17" i="16"/>
  <c r="H9" i="16"/>
  <c r="H10" i="16"/>
  <c r="H11" i="16"/>
  <c r="H12" i="16"/>
  <c r="H8" i="16"/>
  <c r="G9" i="16"/>
  <c r="G10" i="16"/>
  <c r="G11" i="16"/>
  <c r="G12" i="16"/>
  <c r="G8" i="16"/>
  <c r="I13" i="22" l="1"/>
  <c r="F14" i="22" s="1"/>
  <c r="F26" i="18"/>
  <c r="F27" i="18"/>
  <c r="F28" i="18"/>
  <c r="F29" i="18"/>
  <c r="F30" i="18"/>
  <c r="F31" i="18"/>
  <c r="F32" i="18"/>
  <c r="F25" i="18"/>
  <c r="E39" i="14"/>
  <c r="E34" i="14"/>
  <c r="E38" i="14"/>
  <c r="O24" i="17"/>
  <c r="N24" i="17"/>
  <c r="I6" i="17"/>
  <c r="O7" i="17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6" i="17"/>
  <c r="N21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6" i="17"/>
  <c r="M7" i="17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6" i="17"/>
  <c r="L7" i="17"/>
  <c r="L8" i="17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H17" i="18"/>
  <c r="G17" i="18"/>
  <c r="F17" i="18"/>
  <c r="E17" i="18"/>
  <c r="H6" i="18"/>
  <c r="H9" i="18" s="1"/>
  <c r="H19" i="18" s="1"/>
  <c r="G6" i="18"/>
  <c r="G9" i="18" s="1"/>
  <c r="G19" i="18" s="1"/>
  <c r="F6" i="18"/>
  <c r="F9" i="18" s="1"/>
  <c r="F19" i="18" s="1"/>
  <c r="E6" i="18"/>
  <c r="E9" i="18" s="1"/>
  <c r="E19" i="18" s="1"/>
  <c r="H14" i="22" l="1"/>
  <c r="C39" i="14"/>
  <c r="C38" i="14"/>
  <c r="E37" i="14"/>
  <c r="C37" i="14"/>
  <c r="E36" i="14"/>
  <c r="C36" i="14"/>
  <c r="E35" i="14"/>
  <c r="C35" i="14"/>
  <c r="C34" i="14"/>
  <c r="G12" i="13"/>
  <c r="H22" i="12"/>
  <c r="F22" i="12"/>
  <c r="E22" i="12"/>
  <c r="D22" i="12"/>
  <c r="C22" i="12"/>
  <c r="I9" i="12"/>
  <c r="J9" i="12" s="1"/>
  <c r="I10" i="12"/>
  <c r="J10" i="12" s="1"/>
  <c r="I11" i="12"/>
  <c r="J11" i="12" s="1"/>
  <c r="I12" i="12"/>
  <c r="G22" i="12" s="1"/>
  <c r="I13" i="12"/>
  <c r="J13" i="12" s="1"/>
  <c r="I14" i="12"/>
  <c r="J14" i="12" s="1"/>
  <c r="I15" i="12"/>
  <c r="J15" i="12" s="1"/>
  <c r="I16" i="12"/>
  <c r="J16" i="12" s="1"/>
  <c r="I17" i="12"/>
  <c r="J17" i="12" s="1"/>
  <c r="I8" i="12"/>
  <c r="J8" i="12" s="1"/>
  <c r="D9" i="12"/>
  <c r="D10" i="12"/>
  <c r="D11" i="12"/>
  <c r="D12" i="12"/>
  <c r="B22" i="12" s="1"/>
  <c r="D13" i="12"/>
  <c r="D14" i="12"/>
  <c r="D15" i="12"/>
  <c r="D16" i="12"/>
  <c r="D17" i="12"/>
  <c r="D8" i="12"/>
  <c r="I14" i="22" l="1"/>
  <c r="F15" i="22" s="1"/>
  <c r="J12" i="12"/>
  <c r="H15" i="22" l="1"/>
  <c r="F11" i="11"/>
  <c r="G11" i="11"/>
  <c r="I15" i="22" l="1"/>
  <c r="F16" i="22" s="1"/>
  <c r="E42" i="15"/>
  <c r="H42" i="15" s="1"/>
  <c r="E41" i="15"/>
  <c r="H41" i="15" s="1"/>
  <c r="E40" i="15"/>
  <c r="H40" i="15" s="1"/>
  <c r="E39" i="15"/>
  <c r="H39" i="15" s="1"/>
  <c r="E38" i="15"/>
  <c r="H38" i="15" s="1"/>
  <c r="E37" i="15"/>
  <c r="H37" i="15" s="1"/>
  <c r="E36" i="15"/>
  <c r="H36" i="15" s="1"/>
  <c r="E35" i="15"/>
  <c r="H35" i="15" s="1"/>
  <c r="E34" i="15"/>
  <c r="H34" i="15" s="1"/>
  <c r="E33" i="15"/>
  <c r="H33" i="15" s="1"/>
  <c r="E32" i="15"/>
  <c r="H32" i="15" s="1"/>
  <c r="E31" i="15"/>
  <c r="H31" i="15" s="1"/>
  <c r="E30" i="15"/>
  <c r="H30" i="15" s="1"/>
  <c r="E29" i="15"/>
  <c r="H29" i="15" s="1"/>
  <c r="E28" i="15"/>
  <c r="H28" i="15" s="1"/>
  <c r="E27" i="15"/>
  <c r="H27" i="15" s="1"/>
  <c r="E26" i="15"/>
  <c r="H26" i="15" s="1"/>
  <c r="E25" i="15"/>
  <c r="H25" i="15" s="1"/>
  <c r="E24" i="15"/>
  <c r="H24" i="15" s="1"/>
  <c r="E23" i="15"/>
  <c r="H23" i="15" s="1"/>
  <c r="E22" i="15"/>
  <c r="H22" i="15" s="1"/>
  <c r="E21" i="15"/>
  <c r="H21" i="15" s="1"/>
  <c r="E20" i="15"/>
  <c r="H20" i="15" s="1"/>
  <c r="E19" i="15"/>
  <c r="H19" i="15" s="1"/>
  <c r="G18" i="15"/>
  <c r="E18" i="15"/>
  <c r="H18" i="15" s="1"/>
  <c r="E17" i="15"/>
  <c r="H17" i="15" s="1"/>
  <c r="E16" i="15"/>
  <c r="H16" i="15" s="1"/>
  <c r="E15" i="15"/>
  <c r="H15" i="15" s="1"/>
  <c r="E14" i="15"/>
  <c r="H14" i="15" s="1"/>
  <c r="E13" i="15"/>
  <c r="H13" i="15" s="1"/>
  <c r="H16" i="22" l="1"/>
  <c r="I16" i="22" s="1"/>
  <c r="F17" i="22" s="1"/>
  <c r="G13" i="15"/>
  <c r="G14" i="15"/>
  <c r="G15" i="15"/>
  <c r="G16" i="15"/>
  <c r="G17" i="15"/>
  <c r="G19" i="15"/>
  <c r="G20" i="15"/>
  <c r="G21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22" i="15"/>
  <c r="G23" i="15"/>
  <c r="G24" i="15"/>
  <c r="G25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51" i="2"/>
  <c r="H17" i="22" l="1"/>
  <c r="I34" i="2"/>
  <c r="I35" i="2"/>
  <c r="J33" i="2"/>
  <c r="I44" i="2"/>
  <c r="I40" i="2"/>
  <c r="H8" i="13"/>
  <c r="H10" i="13"/>
  <c r="H11" i="13"/>
  <c r="H7" i="13"/>
  <c r="G8" i="13"/>
  <c r="G9" i="13"/>
  <c r="G10" i="13"/>
  <c r="G11" i="13"/>
  <c r="G7" i="13"/>
  <c r="I17" i="22" l="1"/>
  <c r="F18" i="22" s="1"/>
  <c r="J40" i="2"/>
  <c r="H18" i="22" l="1"/>
  <c r="I41" i="2"/>
  <c r="J34" i="2"/>
  <c r="G10" i="8"/>
  <c r="G24" i="11"/>
  <c r="F24" i="11"/>
  <c r="G23" i="11"/>
  <c r="G26" i="11" s="1"/>
  <c r="F23" i="11"/>
  <c r="G22" i="11"/>
  <c r="F22" i="11"/>
  <c r="G21" i="11"/>
  <c r="F21" i="11"/>
  <c r="G20" i="11"/>
  <c r="F20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I18" i="22" l="1"/>
  <c r="F19" i="22" s="1"/>
  <c r="G27" i="11"/>
  <c r="G28" i="11" s="1"/>
  <c r="I30" i="2"/>
  <c r="C29" i="7"/>
  <c r="C30" i="7"/>
  <c r="C31" i="7"/>
  <c r="C32" i="7"/>
  <c r="C33" i="7"/>
  <c r="C34" i="7"/>
  <c r="C35" i="7"/>
  <c r="H32" i="10"/>
  <c r="G32" i="10"/>
  <c r="D32" i="10"/>
  <c r="C32" i="10"/>
  <c r="K31" i="10"/>
  <c r="L31" i="10" s="1"/>
  <c r="I31" i="10"/>
  <c r="J31" i="10" s="1"/>
  <c r="E31" i="10"/>
  <c r="F31" i="10" s="1"/>
  <c r="L30" i="10"/>
  <c r="K30" i="10"/>
  <c r="M30" i="10" s="1"/>
  <c r="J30" i="10"/>
  <c r="I30" i="10"/>
  <c r="F30" i="10"/>
  <c r="E30" i="10"/>
  <c r="K29" i="10"/>
  <c r="L29" i="10" s="1"/>
  <c r="I29" i="10"/>
  <c r="J29" i="10" s="1"/>
  <c r="E29" i="10"/>
  <c r="F29" i="10" s="1"/>
  <c r="L28" i="10"/>
  <c r="K28" i="10"/>
  <c r="M28" i="10" s="1"/>
  <c r="J28" i="10"/>
  <c r="I28" i="10"/>
  <c r="F28" i="10"/>
  <c r="E28" i="10"/>
  <c r="K27" i="10"/>
  <c r="L27" i="10" s="1"/>
  <c r="I27" i="10"/>
  <c r="J27" i="10" s="1"/>
  <c r="E27" i="10"/>
  <c r="F27" i="10" s="1"/>
  <c r="L26" i="10"/>
  <c r="K26" i="10"/>
  <c r="M26" i="10" s="1"/>
  <c r="J26" i="10"/>
  <c r="I26" i="10"/>
  <c r="F26" i="10"/>
  <c r="E26" i="10"/>
  <c r="K25" i="10"/>
  <c r="K32" i="10" s="1"/>
  <c r="I25" i="10"/>
  <c r="I32" i="10" s="1"/>
  <c r="E25" i="10"/>
  <c r="E32" i="10" s="1"/>
  <c r="I17" i="10"/>
  <c r="H17" i="10"/>
  <c r="G17" i="10"/>
  <c r="F17" i="10"/>
  <c r="E17" i="10"/>
  <c r="D17" i="10"/>
  <c r="C17" i="10"/>
  <c r="M16" i="10"/>
  <c r="L16" i="10"/>
  <c r="K16" i="10"/>
  <c r="J16" i="10"/>
  <c r="M15" i="10"/>
  <c r="L15" i="10"/>
  <c r="K15" i="10"/>
  <c r="J15" i="10"/>
  <c r="M14" i="10"/>
  <c r="L14" i="10"/>
  <c r="K14" i="10"/>
  <c r="J14" i="10"/>
  <c r="M13" i="10"/>
  <c r="L13" i="10"/>
  <c r="K13" i="10"/>
  <c r="J13" i="10"/>
  <c r="M12" i="10"/>
  <c r="L12" i="10"/>
  <c r="K12" i="10"/>
  <c r="J12" i="10"/>
  <c r="M11" i="10"/>
  <c r="L11" i="10"/>
  <c r="K11" i="10"/>
  <c r="J11" i="10"/>
  <c r="M10" i="10"/>
  <c r="L10" i="10"/>
  <c r="K10" i="10"/>
  <c r="J10" i="10"/>
  <c r="M9" i="10"/>
  <c r="L9" i="10"/>
  <c r="K9" i="10"/>
  <c r="J9" i="10"/>
  <c r="M8" i="10"/>
  <c r="L8" i="10"/>
  <c r="K8" i="10"/>
  <c r="J8" i="10"/>
  <c r="M7" i="10"/>
  <c r="M17" i="10" s="1"/>
  <c r="L7" i="10"/>
  <c r="L17" i="10" s="1"/>
  <c r="K7" i="10"/>
  <c r="K17" i="10" s="1"/>
  <c r="J7" i="10"/>
  <c r="J17" i="10" s="1"/>
  <c r="H19" i="22" l="1"/>
  <c r="M25" i="10"/>
  <c r="M27" i="10"/>
  <c r="M29" i="10"/>
  <c r="M31" i="10"/>
  <c r="F25" i="10"/>
  <c r="F32" i="10" s="1"/>
  <c r="J25" i="10"/>
  <c r="J32" i="10" s="1"/>
  <c r="L25" i="10"/>
  <c r="L32" i="10" s="1"/>
  <c r="I19" i="22" l="1"/>
  <c r="F20" i="22" s="1"/>
  <c r="M32" i="10"/>
  <c r="H20" i="22" l="1"/>
  <c r="I12" i="3"/>
  <c r="I20" i="22" l="1"/>
  <c r="F21" i="22" s="1"/>
  <c r="F22" i="8"/>
  <c r="E22" i="8"/>
  <c r="G22" i="8" s="1"/>
  <c r="H22" i="8" s="1"/>
  <c r="F21" i="8"/>
  <c r="E21" i="8"/>
  <c r="G21" i="8" s="1"/>
  <c r="H21" i="8" s="1"/>
  <c r="F20" i="8"/>
  <c r="E20" i="8"/>
  <c r="G20" i="8" s="1"/>
  <c r="H20" i="8" s="1"/>
  <c r="F19" i="8"/>
  <c r="E19" i="8"/>
  <c r="G19" i="8" s="1"/>
  <c r="H19" i="8" s="1"/>
  <c r="F18" i="8"/>
  <c r="E18" i="8"/>
  <c r="G18" i="8" s="1"/>
  <c r="H18" i="8" s="1"/>
  <c r="F17" i="8"/>
  <c r="E17" i="8"/>
  <c r="G17" i="8" s="1"/>
  <c r="H17" i="8" s="1"/>
  <c r="F16" i="8"/>
  <c r="E16" i="8"/>
  <c r="G16" i="8" s="1"/>
  <c r="H16" i="8" s="1"/>
  <c r="F15" i="8"/>
  <c r="E15" i="8"/>
  <c r="G15" i="8" s="1"/>
  <c r="H15" i="8" s="1"/>
  <c r="F14" i="8"/>
  <c r="E14" i="8"/>
  <c r="G14" i="8" s="1"/>
  <c r="H14" i="8" s="1"/>
  <c r="F13" i="8"/>
  <c r="E13" i="8"/>
  <c r="G13" i="8" s="1"/>
  <c r="H13" i="8" s="1"/>
  <c r="F12" i="8"/>
  <c r="E12" i="8"/>
  <c r="G12" i="8" s="1"/>
  <c r="H12" i="8" s="1"/>
  <c r="F11" i="8"/>
  <c r="E11" i="8"/>
  <c r="G11" i="8" s="1"/>
  <c r="H11" i="8" s="1"/>
  <c r="F10" i="8"/>
  <c r="E10" i="8"/>
  <c r="H10" i="8" s="1"/>
  <c r="H21" i="22" l="1"/>
  <c r="I11" i="8"/>
  <c r="J11" i="8" s="1"/>
  <c r="I14" i="8"/>
  <c r="J14" i="8" s="1"/>
  <c r="I16" i="8"/>
  <c r="J16" i="8" s="1"/>
  <c r="I17" i="8"/>
  <c r="J17" i="8" s="1"/>
  <c r="I20" i="8"/>
  <c r="J20" i="8" s="1"/>
  <c r="I22" i="8"/>
  <c r="J22" i="8" s="1"/>
  <c r="I10" i="8"/>
  <c r="J10" i="8" s="1"/>
  <c r="I12" i="8"/>
  <c r="J12" i="8" s="1"/>
  <c r="I13" i="8"/>
  <c r="J13" i="8" s="1"/>
  <c r="I15" i="8"/>
  <c r="J15" i="8" s="1"/>
  <c r="I18" i="8"/>
  <c r="J18" i="8" s="1"/>
  <c r="I19" i="8"/>
  <c r="J19" i="8" s="1"/>
  <c r="I21" i="8"/>
  <c r="J21" i="8" s="1"/>
  <c r="I21" i="22" l="1"/>
  <c r="F22" i="22" s="1"/>
  <c r="L19" i="8"/>
  <c r="K19" i="8"/>
  <c r="L12" i="8"/>
  <c r="K12" i="8"/>
  <c r="L14" i="8"/>
  <c r="K14" i="8"/>
  <c r="L15" i="8"/>
  <c r="K15" i="8"/>
  <c r="L22" i="8"/>
  <c r="K22" i="8"/>
  <c r="L17" i="8"/>
  <c r="K17" i="8"/>
  <c r="L21" i="8"/>
  <c r="K21" i="8"/>
  <c r="L18" i="8"/>
  <c r="K18" i="8"/>
  <c r="L13" i="8"/>
  <c r="K13" i="8"/>
  <c r="L10" i="8"/>
  <c r="K10" i="8"/>
  <c r="L20" i="8"/>
  <c r="K20" i="8"/>
  <c r="L16" i="8"/>
  <c r="K16" i="8"/>
  <c r="L11" i="8"/>
  <c r="K11" i="8"/>
  <c r="H22" i="22" l="1"/>
  <c r="E22" i="7"/>
  <c r="D22" i="7"/>
  <c r="E21" i="7"/>
  <c r="D21" i="7"/>
  <c r="E20" i="7"/>
  <c r="D20" i="7"/>
  <c r="G19" i="7"/>
  <c r="F19" i="7"/>
  <c r="H19" i="7" s="1"/>
  <c r="F18" i="7"/>
  <c r="G18" i="7" s="1"/>
  <c r="G17" i="7"/>
  <c r="F17" i="7"/>
  <c r="H17" i="7" s="1"/>
  <c r="F16" i="7"/>
  <c r="G16" i="7" s="1"/>
  <c r="G15" i="7"/>
  <c r="F15" i="7"/>
  <c r="H15" i="7" s="1"/>
  <c r="F14" i="7"/>
  <c r="G14" i="7" s="1"/>
  <c r="G13" i="7"/>
  <c r="F13" i="7"/>
  <c r="H13" i="7" s="1"/>
  <c r="F12" i="7"/>
  <c r="G12" i="7" s="1"/>
  <c r="G11" i="7"/>
  <c r="F11" i="7"/>
  <c r="H11" i="7" s="1"/>
  <c r="F10" i="7"/>
  <c r="G10" i="7" s="1"/>
  <c r="G9" i="7"/>
  <c r="F9" i="7"/>
  <c r="H9" i="7" s="1"/>
  <c r="F8" i="7"/>
  <c r="G8" i="7" s="1"/>
  <c r="G7" i="7"/>
  <c r="F7" i="7"/>
  <c r="H7" i="7" s="1"/>
  <c r="F6" i="7"/>
  <c r="F21" i="7" s="1"/>
  <c r="I22" i="22" l="1"/>
  <c r="F23" i="22" s="1"/>
  <c r="H6" i="7"/>
  <c r="H8" i="7"/>
  <c r="H10" i="7"/>
  <c r="H12" i="7"/>
  <c r="H14" i="7"/>
  <c r="H16" i="7"/>
  <c r="H18" i="7"/>
  <c r="F20" i="7"/>
  <c r="F22" i="7"/>
  <c r="G6" i="7"/>
  <c r="I38" i="2"/>
  <c r="H23" i="22" l="1"/>
  <c r="G22" i="7"/>
  <c r="G20" i="7"/>
  <c r="G21" i="7"/>
  <c r="H21" i="7"/>
  <c r="H22" i="7"/>
  <c r="H20" i="7"/>
  <c r="J43" i="2"/>
  <c r="J42" i="2"/>
  <c r="J41" i="2"/>
  <c r="J38" i="2"/>
  <c r="J37" i="2"/>
  <c r="I37" i="2"/>
  <c r="J36" i="2"/>
  <c r="I36" i="2"/>
  <c r="J35" i="2"/>
  <c r="I33" i="2"/>
  <c r="J32" i="2"/>
  <c r="I32" i="2"/>
  <c r="J31" i="2"/>
  <c r="I31" i="2"/>
  <c r="J30" i="2"/>
  <c r="J29" i="2"/>
  <c r="I29" i="2"/>
  <c r="I26" i="2"/>
  <c r="I23" i="22" l="1"/>
  <c r="F24" i="22" s="1"/>
  <c r="I29" i="6"/>
  <c r="H29" i="6"/>
  <c r="G29" i="6"/>
  <c r="F29" i="6"/>
  <c r="E29" i="6"/>
  <c r="I28" i="6"/>
  <c r="H28" i="6"/>
  <c r="G28" i="6"/>
  <c r="F28" i="6"/>
  <c r="E28" i="6"/>
  <c r="K23" i="6"/>
  <c r="M23" i="6" s="1"/>
  <c r="J23" i="6"/>
  <c r="K22" i="6"/>
  <c r="M22" i="6" s="1"/>
  <c r="J22" i="6"/>
  <c r="K21" i="6"/>
  <c r="M21" i="6" s="1"/>
  <c r="J21" i="6"/>
  <c r="K20" i="6"/>
  <c r="M20" i="6" s="1"/>
  <c r="J20" i="6"/>
  <c r="K19" i="6"/>
  <c r="M19" i="6" s="1"/>
  <c r="J19" i="6"/>
  <c r="K18" i="6"/>
  <c r="M18" i="6" s="1"/>
  <c r="J18" i="6"/>
  <c r="K17" i="6"/>
  <c r="M17" i="6" s="1"/>
  <c r="J17" i="6"/>
  <c r="K16" i="6"/>
  <c r="M16" i="6" s="1"/>
  <c r="J16" i="6"/>
  <c r="K15" i="6"/>
  <c r="M15" i="6" s="1"/>
  <c r="J15" i="6"/>
  <c r="K14" i="6"/>
  <c r="M14" i="6" s="1"/>
  <c r="J14" i="6"/>
  <c r="K13" i="6"/>
  <c r="M13" i="6" s="1"/>
  <c r="J13" i="6"/>
  <c r="K12" i="6"/>
  <c r="M12" i="6" s="1"/>
  <c r="J12" i="6"/>
  <c r="K11" i="6"/>
  <c r="M11" i="6" s="1"/>
  <c r="J11" i="6"/>
  <c r="K10" i="6"/>
  <c r="M10" i="6" s="1"/>
  <c r="J10" i="6"/>
  <c r="K9" i="6"/>
  <c r="M9" i="6" s="1"/>
  <c r="J9" i="6"/>
  <c r="K8" i="6"/>
  <c r="M8" i="6" s="1"/>
  <c r="J8" i="6"/>
  <c r="H24" i="22" l="1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E31" i="5"/>
  <c r="I24" i="22" l="1"/>
  <c r="F25" i="22" s="1"/>
  <c r="F30" i="5"/>
  <c r="E21" i="5"/>
  <c r="E20" i="5"/>
  <c r="E19" i="5"/>
  <c r="E18" i="5"/>
  <c r="E17" i="5"/>
  <c r="E16" i="5"/>
  <c r="E15" i="5"/>
  <c r="E14" i="5"/>
  <c r="E13" i="5"/>
  <c r="E12" i="5"/>
  <c r="E11" i="5"/>
  <c r="E10" i="5"/>
  <c r="E30" i="5" s="1"/>
  <c r="H25" i="22" l="1"/>
  <c r="I25" i="22"/>
  <c r="F26" i="22" s="1"/>
  <c r="E32" i="5"/>
  <c r="F31" i="5"/>
  <c r="F32" i="5" s="1"/>
  <c r="H26" i="22" l="1"/>
  <c r="I26" i="22"/>
  <c r="F27" i="22" s="1"/>
  <c r="F28" i="4"/>
  <c r="E28" i="4"/>
  <c r="D28" i="4"/>
  <c r="C28" i="4"/>
  <c r="G28" i="4" s="1"/>
  <c r="G27" i="4"/>
  <c r="G26" i="4"/>
  <c r="G25" i="4"/>
  <c r="G24" i="4"/>
  <c r="G23" i="4"/>
  <c r="G22" i="4"/>
  <c r="G21" i="4"/>
  <c r="G20" i="4"/>
  <c r="F15" i="4"/>
  <c r="F31" i="4" s="1"/>
  <c r="E15" i="4"/>
  <c r="E31" i="4" s="1"/>
  <c r="D15" i="4"/>
  <c r="D31" i="4" s="1"/>
  <c r="C15" i="4"/>
  <c r="C31" i="4" s="1"/>
  <c r="G14" i="4"/>
  <c r="G13" i="4"/>
  <c r="G12" i="4"/>
  <c r="G11" i="4"/>
  <c r="G10" i="4"/>
  <c r="G9" i="4"/>
  <c r="G8" i="4"/>
  <c r="G7" i="4"/>
  <c r="H27" i="22" l="1"/>
  <c r="I27" i="22"/>
  <c r="F28" i="22" s="1"/>
  <c r="G15" i="4"/>
  <c r="G31" i="4" s="1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H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J12" i="3"/>
  <c r="H28" i="22" l="1"/>
  <c r="I28" i="22"/>
  <c r="F29" i="22" l="1"/>
  <c r="H29" i="22" s="1"/>
  <c r="I29" i="22" s="1"/>
</calcChain>
</file>

<file path=xl/sharedStrings.xml><?xml version="1.0" encoding="utf-8"?>
<sst xmlns="http://schemas.openxmlformats.org/spreadsheetml/2006/main" count="952" uniqueCount="599">
  <si>
    <t>Number</t>
  </si>
  <si>
    <t>បញ្ជីសម្រង់វត្តមានប្រចាំខែ</t>
  </si>
  <si>
    <t>Name</t>
  </si>
  <si>
    <t>Surname</t>
  </si>
  <si>
    <t>Firstname</t>
  </si>
  <si>
    <t>STAFF LIST</t>
  </si>
  <si>
    <t>Roeun</t>
  </si>
  <si>
    <t>Gender</t>
  </si>
  <si>
    <t>Birthdate</t>
  </si>
  <si>
    <t>Place of Birth</t>
  </si>
  <si>
    <t>Marital</t>
  </si>
  <si>
    <t>Position</t>
  </si>
  <si>
    <t>Salary</t>
  </si>
  <si>
    <t>Vong</t>
  </si>
  <si>
    <t>Nam</t>
  </si>
  <si>
    <t>Mou</t>
  </si>
  <si>
    <t>Chhoeung</t>
  </si>
  <si>
    <t>Chea</t>
  </si>
  <si>
    <t>Kong</t>
  </si>
  <si>
    <t>In</t>
  </si>
  <si>
    <t>Khun</t>
  </si>
  <si>
    <t>Socheat</t>
  </si>
  <si>
    <t>M</t>
  </si>
  <si>
    <t>Phnom Penh</t>
  </si>
  <si>
    <t>Single</t>
  </si>
  <si>
    <t>Executive Manager</t>
  </si>
  <si>
    <t>Sivneth</t>
  </si>
  <si>
    <t>F</t>
  </si>
  <si>
    <t>Siem Reap</t>
  </si>
  <si>
    <t>Jenior Program</t>
  </si>
  <si>
    <t>Samphors</t>
  </si>
  <si>
    <t>Battam bong</t>
  </si>
  <si>
    <t>Married</t>
  </si>
  <si>
    <t>Manager</t>
  </si>
  <si>
    <t>Sokea</t>
  </si>
  <si>
    <t>Svay Rieng</t>
  </si>
  <si>
    <t>Accountant</t>
  </si>
  <si>
    <t>Chhiv Earm</t>
  </si>
  <si>
    <t>Human Resource</t>
  </si>
  <si>
    <t>Pum</t>
  </si>
  <si>
    <t>Libuaring</t>
  </si>
  <si>
    <t>Chamrong</t>
  </si>
  <si>
    <t>Kom Pot</t>
  </si>
  <si>
    <t>Teacher</t>
  </si>
  <si>
    <t>Chhov</t>
  </si>
  <si>
    <t>Phally</t>
  </si>
  <si>
    <t>Tith</t>
  </si>
  <si>
    <t>Sun Po</t>
  </si>
  <si>
    <t>Sovuong</t>
  </si>
  <si>
    <t>Lak</t>
  </si>
  <si>
    <t>Sinen</t>
  </si>
  <si>
    <t>Mao</t>
  </si>
  <si>
    <t>Rathpisith</t>
  </si>
  <si>
    <t>Hour</t>
  </si>
  <si>
    <t>Mony</t>
  </si>
  <si>
    <t>Chhiv</t>
  </si>
  <si>
    <t>Vansak</t>
  </si>
  <si>
    <t>Seng</t>
  </si>
  <si>
    <t>Pheng</t>
  </si>
  <si>
    <t>Horng</t>
  </si>
  <si>
    <t>Bunnly</t>
  </si>
  <si>
    <t>My</t>
  </si>
  <si>
    <t>Marady</t>
  </si>
  <si>
    <t>Ly</t>
  </si>
  <si>
    <t>Heang</t>
  </si>
  <si>
    <t>Phay</t>
  </si>
  <si>
    <t>Norn</t>
  </si>
  <si>
    <t>Kampong Cham</t>
  </si>
  <si>
    <t>Kampong Thom</t>
  </si>
  <si>
    <t>PEPY Hotel</t>
  </si>
  <si>
    <t>CheckInNo</t>
  </si>
  <si>
    <t>CheckInDate</t>
  </si>
  <si>
    <t>CheckOutDate</t>
  </si>
  <si>
    <t>GuesfeName</t>
  </si>
  <si>
    <t>Sex</t>
  </si>
  <si>
    <t>RoomNo</t>
  </si>
  <si>
    <t>Room Type</t>
  </si>
  <si>
    <t>Price</t>
  </si>
  <si>
    <t>Stay</t>
  </si>
  <si>
    <t>Amount</t>
  </si>
  <si>
    <t>Bun Kheang</t>
  </si>
  <si>
    <t>Male</t>
  </si>
  <si>
    <t>SINGLE</t>
  </si>
  <si>
    <t>Heng Ratha</t>
  </si>
  <si>
    <t>Female</t>
  </si>
  <si>
    <t>VIP</t>
  </si>
  <si>
    <t>Chom Rean</t>
  </si>
  <si>
    <t>Heng Ratana</t>
  </si>
  <si>
    <t>Sok Khom</t>
  </si>
  <si>
    <t>Eng Dany</t>
  </si>
  <si>
    <t>Sok Pisey</t>
  </si>
  <si>
    <t>DOUBLE</t>
  </si>
  <si>
    <t>Chea Dara</t>
  </si>
  <si>
    <t>Bun Davy</t>
  </si>
  <si>
    <t>Oun Sovannratha</t>
  </si>
  <si>
    <t>Pich ChanBora</t>
  </si>
  <si>
    <t>Sam Sivutha</t>
  </si>
  <si>
    <t>Vong Kosinara</t>
  </si>
  <si>
    <t>Lon Vannareach</t>
  </si>
  <si>
    <t>Panh Monech</t>
  </si>
  <si>
    <t>Income Statement</t>
  </si>
  <si>
    <t>តារាងរបាយការណ៍ចំណូល</t>
  </si>
  <si>
    <t>Description</t>
  </si>
  <si>
    <t>1st Qtr</t>
  </si>
  <si>
    <t>2nd Qtr</t>
  </si>
  <si>
    <t>3rd Qtr</t>
  </si>
  <si>
    <t>4th Qtr</t>
  </si>
  <si>
    <t>Total</t>
  </si>
  <si>
    <t>Computer Rental</t>
  </si>
  <si>
    <t>Print</t>
  </si>
  <si>
    <t>Print color lasser</t>
  </si>
  <si>
    <t>Sale CD</t>
  </si>
  <si>
    <t>Sale Diskette</t>
  </si>
  <si>
    <t>Sean Picture</t>
  </si>
  <si>
    <t>Repair Computer</t>
  </si>
  <si>
    <t>Teaching</t>
  </si>
  <si>
    <t>Total Income</t>
  </si>
  <si>
    <t>តារាងរបាយការណ៍ចំណាយ</t>
  </si>
  <si>
    <t>Discription</t>
  </si>
  <si>
    <t>Electric</t>
  </si>
  <si>
    <t>Ink</t>
  </si>
  <si>
    <t>Ink Color Lasser</t>
  </si>
  <si>
    <t>Telephone</t>
  </si>
  <si>
    <t>Repairing</t>
  </si>
  <si>
    <t>Utilities</t>
  </si>
  <si>
    <t>Supply</t>
  </si>
  <si>
    <t>Total Expense</t>
  </si>
  <si>
    <t>តុល្យការ</t>
  </si>
  <si>
    <t>Net Income</t>
  </si>
  <si>
    <t>Nº</t>
  </si>
  <si>
    <t>ល.រ</t>
  </si>
  <si>
    <t>ឈ្មោះទំនិញ</t>
  </si>
  <si>
    <t>ចំនួន</t>
  </si>
  <si>
    <t>តម្លៃរាយ</t>
  </si>
  <si>
    <t>សរុបតម្លៃ(ដុល្លា)</t>
  </si>
  <si>
    <t>សរុបតម្លៃ (ប្រាក់រៀល)</t>
  </si>
  <si>
    <t>Computer Pentium III 500Mhz</t>
  </si>
  <si>
    <t>Computer Pentium III 850Mhz</t>
  </si>
  <si>
    <t>Computer Pentium III 1 Ghz</t>
  </si>
  <si>
    <t>Monitor NEC 17"</t>
  </si>
  <si>
    <t>Monitor Fujitsu 17"</t>
  </si>
  <si>
    <t>Monitor Fojitso 17" Flat</t>
  </si>
  <si>
    <t>Monitor IBM 17"</t>
  </si>
  <si>
    <t>Monitor Fojitso 15"</t>
  </si>
  <si>
    <t>Keyboard</t>
  </si>
  <si>
    <t>Mouse</t>
  </si>
  <si>
    <t>Printer deskjet 3535</t>
  </si>
  <si>
    <t>JatFlash 256MB</t>
  </si>
  <si>
    <t>សរុប</t>
  </si>
  <si>
    <t>បញ្ចុះតម្លៃ២០​ %</t>
  </si>
  <si>
    <t>នៅសល់</t>
  </si>
  <si>
    <t>បំរាប់</t>
  </si>
  <si>
    <t>ហាងកុំព្យូទ័រយើងខ្ញុំមានការបញ្ចុះតម្លៃជូនអតិថិជនរហូតចំនួន ២០ ភាគរយ</t>
  </si>
  <si>
    <t>អត្រាការប្រាក់់ ១ដុល្លា = ៤០០០ រៀល</t>
  </si>
  <si>
    <t>តម្រូវការ</t>
  </si>
  <si>
    <t>១. តើបុគ្គលិកទាំងអស់មានប៉ុន្មាននាក់?</t>
  </si>
  <si>
    <t>២. តើមានបុគ្គលិកនារីប៉ុន្មាននាក់?</t>
  </si>
  <si>
    <t>៣. តើបុគ្គលិកដែលមកពីភ្នំពេញមានប៉ុន្មាននាក់?</t>
  </si>
  <si>
    <t>៤. តើបុគ្គលិកដែលរៀបការហើយមានប៉ុន្មាននាក់?</t>
  </si>
  <si>
    <t>៥. តើបុគ្គលិកជាគ្រូបង្រៀនមានប៉ុន្មាននាក់?</t>
  </si>
  <si>
    <t>៦. តើបុគ្គលិកដែលមានប្រាក់ខែចាប់ពី៥០០ដុល្លាមានប៉ុន្មាននាក់?</t>
  </si>
  <si>
    <t>៧. តើបុគ្គលិកដែលកើតមុនឆ្នាំ1980 មានប៉ុន្មាននាក់?</t>
  </si>
  <si>
    <t>៨. តើបុគ្គលិកនារីមកពីភ្នំពេញមានប៉ុន្មាននាក់?</t>
  </si>
  <si>
    <t>៩. តើលោកគ្រូបង្រៀនដែលមកពីសៀមរាបមានប៉ុន្មាននាក់?</t>
  </si>
  <si>
    <t>១០. តើអ្នកគ្រូបង្រៀនដែលនៅលីវមានប្រាក់ខែតិចជាង​៥០០ដុល្លាមានប៉ុន្មាននាក់?</t>
  </si>
  <si>
    <t>១១. តើលោកគ្រូបង្រៀនដែលមានគ្រូសារហើយកើតនៅក្នុងរបបស័យប៉ុល ពតមានប៉ុន្មាននាក់?</t>
  </si>
  <si>
    <t>១២. ចូរសរុបទឹកប្រាក់បុគ្គលិកបុរស</t>
  </si>
  <si>
    <t>១៣. ចូរសរុបទឹកប្រាក់បុគ្គលិកដែលមកពីសៀមរាប</t>
  </si>
  <si>
    <t>១៤. ចូរសរុបទឹកប្រាក់របស់បុគ្គលិកដែលកើតក្រោយឆ្នាំ១៩៨០</t>
  </si>
  <si>
    <t>១៥. ចូរសរុបទឹកប្រាក់របស់លោកគ្រូបង្រៀនមកពីកំពង់ចាម</t>
  </si>
  <si>
    <t>១៦. ចូរសរុបទឹកប្រាក់របស់អ្នកគ្រូបង្រៀនដែលមិនទាន់មានគ្រួសារនៅឡើយ</t>
  </si>
  <si>
    <t>១៧. ចូរសរុបទឹកប្រាក់របស់អ្នកមកពី ភ្នំពេញ និងសៀមរាប</t>
  </si>
  <si>
    <t>No 01</t>
  </si>
  <si>
    <t>No 02</t>
  </si>
  <si>
    <t>លទ្ធផលប្រលងប្រចាំខែ</t>
  </si>
  <si>
    <t>ឈ្មោះសិស្ស</t>
  </si>
  <si>
    <t>ភេទ</t>
  </si>
  <si>
    <t>លេខកូដ</t>
  </si>
  <si>
    <t>គណិតវិទ្យា</t>
  </si>
  <si>
    <t>អង់គ្លេស</t>
  </si>
  <si>
    <t>ភាសារខ្មែរ</t>
  </si>
  <si>
    <t>រូបវិទ្យា0</t>
  </si>
  <si>
    <t>គីមីវិទ្យា</t>
  </si>
  <si>
    <t>ពិន្ទុសរុប</t>
  </si>
  <si>
    <t>មធ្យមភាគ</t>
  </si>
  <si>
    <t>ចំណាត់ថ្នាក់</t>
  </si>
  <si>
    <t>លទ្ធផល</t>
  </si>
  <si>
    <t>Sek Sarouen</t>
  </si>
  <si>
    <t>Sien Somnang</t>
  </si>
  <si>
    <t>Nop Sokhom</t>
  </si>
  <si>
    <t>theng Soky</t>
  </si>
  <si>
    <t>Youk Pha</t>
  </si>
  <si>
    <t>Yod Saban</t>
  </si>
  <si>
    <t>Chhun Chanthy</t>
  </si>
  <si>
    <t>Vong Vanny</t>
  </si>
  <si>
    <t>Kien Narin</t>
  </si>
  <si>
    <t>Say Sorn</t>
  </si>
  <si>
    <t>Sok Bunthoeun</t>
  </si>
  <si>
    <t>Nguon Vanna</t>
  </si>
  <si>
    <t>Ouk Sithon</t>
  </si>
  <si>
    <t>Krouch Sokly</t>
  </si>
  <si>
    <t>Hun Visal</t>
  </si>
  <si>
    <t>Sous Borth</t>
  </si>
  <si>
    <t>ចំនួនពិន្ធុដែលខ្ពស់ជាងគេ</t>
  </si>
  <si>
    <t>ចំនួនពិន្ធុដែលតិចជាងគេ</t>
  </si>
  <si>
    <t>Date</t>
  </si>
  <si>
    <t>Qty</t>
  </si>
  <si>
    <t>Unit Price</t>
  </si>
  <si>
    <t>PEPY DRINKING SHIPPING</t>
  </si>
  <si>
    <t>No</t>
  </si>
  <si>
    <t>Name Goods</t>
  </si>
  <si>
    <t>Amount តម្លៃសរុប</t>
  </si>
  <si>
    <t>In Riels (ប្រាក់រៀល)</t>
  </si>
  <si>
    <t>In US ($)
(ដុល្លា)</t>
  </si>
  <si>
    <t>In Bath
(ប្រាក់បាត)</t>
  </si>
  <si>
    <t>Angkor Beer</t>
  </si>
  <si>
    <t>ABC Beer</t>
  </si>
  <si>
    <t>Tiger Beer</t>
  </si>
  <si>
    <t>Ancher Beer</t>
  </si>
  <si>
    <t>Heniken Beer</t>
  </si>
  <si>
    <t>BAyon Beer</t>
  </si>
  <si>
    <t>Shinha Beer</t>
  </si>
  <si>
    <t>Minimum</t>
  </si>
  <si>
    <t>Maximum</t>
  </si>
  <si>
    <t>តាមរយៈតារាងខាងលើចូរគណនានូវតារាងខាងក្រោមត្រង់សញ្ញា សួរៈ</t>
  </si>
  <si>
    <t>Name of Goods
ឈ្មោះមុខទំនិញ</t>
  </si>
  <si>
    <t>Qty of Each
ចំនួនដនៃទំនិញ</t>
  </si>
  <si>
    <t>Total In Riels
សរុបតម្លៃទំនិញ
(រៀល)</t>
  </si>
  <si>
    <t>Total In USA
សរុបតម្លៃទំនិញ
(ដុល្លា)</t>
  </si>
  <si>
    <t>Total In Bath
សរុបតម្លៃទំនិញ
(បាត)</t>
  </si>
  <si>
    <t>Hiniken Beer</t>
  </si>
  <si>
    <t>Bayon Beer</t>
  </si>
  <si>
    <t>សំគាល់</t>
  </si>
  <si>
    <t>១ដុល្លា=​៤០០០​​​​ រៀល</t>
  </si>
  <si>
    <t>១បាត=១០០ រៀល</t>
  </si>
  <si>
    <t>ផេពភី​ លក់ដុំ និងេរាយភេសជ្ជៈគ្រប់ប្រភេទ</t>
  </si>
  <si>
    <t>Name of goods</t>
  </si>
  <si>
    <t>Purchasing</t>
  </si>
  <si>
    <t>Tax=10%</t>
  </si>
  <si>
    <t>Profit=20%</t>
  </si>
  <si>
    <t>Price Unit 
for Sale</t>
  </si>
  <si>
    <t>Amount of
Sale</t>
  </si>
  <si>
    <t>discount</t>
  </si>
  <si>
    <t>Amount of Sale after discount</t>
  </si>
  <si>
    <t>QTY</t>
  </si>
  <si>
    <t>In($)</t>
  </si>
  <si>
    <t>In Riels</t>
  </si>
  <si>
    <t>In Bath</t>
  </si>
  <si>
    <t>Angkor</t>
  </si>
  <si>
    <t>ABC</t>
  </si>
  <si>
    <t>Tiger</t>
  </si>
  <si>
    <t>Ancher</t>
  </si>
  <si>
    <t>Heneken</t>
  </si>
  <si>
    <t>VB</t>
  </si>
  <si>
    <t>Change</t>
  </si>
  <si>
    <t>Cocacola</t>
  </si>
  <si>
    <t>7 up</t>
  </si>
  <si>
    <t>Rino</t>
  </si>
  <si>
    <t>ចំពោះការបញ្ចុះតម្លៃ :</t>
  </si>
  <si>
    <t xml:space="preserve"> -Purchasing</t>
  </si>
  <si>
    <t>:ទំនិញដែលបានទិញចូល</t>
  </si>
  <si>
    <t>​​ -ប្រសិនបើអតិថិជនទិញទំនិញតិចជាង ៣០០០០​​ ដុល្លា​ បញ្ចុះជូន ១%</t>
  </si>
  <si>
    <t xml:space="preserve"> -Tax</t>
  </si>
  <si>
    <t>:តម្លៃពន្ធនាំចូល</t>
  </si>
  <si>
    <t>​ -ប្រសិនបើអតិថិជនទិញទំនិញតិចជាង​ ៥០០០០​ ដុល្លា បញ្ចុះជូន ២%</t>
  </si>
  <si>
    <t xml:space="preserve"> -Proft</t>
  </si>
  <si>
    <t>:តម្លៃនៃប្រាក់ចំនេញ</t>
  </si>
  <si>
    <t xml:space="preserve"> -ប្រសិនបើអតិថិជនទិញទំនិញចាប់ពី ៥០០០០ ដុល្លា បញ្ចុះជូន ៣%</t>
  </si>
  <si>
    <t>:តម្លៃសរុបដែលត្រូវលក់</t>
  </si>
  <si>
    <t xml:space="preserve"> -Discount</t>
  </si>
  <si>
    <t>:តម្លៃដែលត្រូវបញ្ចុះ</t>
  </si>
  <si>
    <t>:តម្លៃសល់ក្រោយពេលបញ្ចុះរួច</t>
  </si>
  <si>
    <t>Remark</t>
  </si>
  <si>
    <t xml:space="preserve"> - ចូរបង្កើតតារាងដូចខាងក្រោម និង គណនាត្រង់សញ្ញាសួរ</t>
  </si>
  <si>
    <t>StaffID</t>
  </si>
  <si>
    <t>PEPY TRANSPORTATION</t>
  </si>
  <si>
    <t>Purchase</t>
  </si>
  <si>
    <t>Company In Cambodia</t>
  </si>
  <si>
    <t>Name of
Goods</t>
  </si>
  <si>
    <t xml:space="preserve">Quantity of Goods </t>
  </si>
  <si>
    <t>Total In Week</t>
  </si>
  <si>
    <t>Average</t>
  </si>
  <si>
    <t>Monday</t>
  </si>
  <si>
    <t>Tuesday</t>
  </si>
  <si>
    <t>Wednesday</t>
  </si>
  <si>
    <t>Thursday</t>
  </si>
  <si>
    <t>Friday</t>
  </si>
  <si>
    <t>Saturday</t>
  </si>
  <si>
    <t>Sunday</t>
  </si>
  <si>
    <t>Heniken</t>
  </si>
  <si>
    <t>1$=4000 Riel</t>
  </si>
  <si>
    <t>Purchase Quatities
and Price</t>
  </si>
  <si>
    <t>Total($)</t>
  </si>
  <si>
    <t>Total(Riel)</t>
  </si>
  <si>
    <t>Sales Quantities
and Price</t>
  </si>
  <si>
    <t>Quantities
after sales</t>
  </si>
  <si>
    <t>Total
in Riel</t>
  </si>
  <si>
    <t>Total
in dollar</t>
  </si>
  <si>
    <t>Quantity</t>
  </si>
  <si>
    <t>Unite Price</t>
  </si>
  <si>
    <t>នាម​ និង​ គោត្តនាម</t>
  </si>
  <si>
    <t>មុខវិជ្ជា</t>
  </si>
  <si>
    <t>ពិន្ទុមធ្យម</t>
  </si>
  <si>
    <t>និទ្ទេស</t>
  </si>
  <si>
    <t>ឆន​ សុវណ្ណនី</t>
  </si>
  <si>
    <t>ស</t>
  </si>
  <si>
    <t>Microsoft Excel</t>
  </si>
  <si>
    <t>អុន​ មករា</t>
  </si>
  <si>
    <t>ប</t>
  </si>
  <si>
    <t>Microsoft Word</t>
  </si>
  <si>
    <t>ខេង សុខាន់</t>
  </si>
  <si>
    <t>Photoshop</t>
  </si>
  <si>
    <t>យ៉ាន់ ផេន</t>
  </si>
  <si>
    <t>Corel Draw</t>
  </si>
  <si>
    <t>គឹម​ ណាវី</t>
  </si>
  <si>
    <t>ស្រី ឌីណា</t>
  </si>
  <si>
    <t>យឹម សុវារី</t>
  </si>
  <si>
    <t>សុខ វាសនា</t>
  </si>
  <si>
    <t>ទឹម​ វណ្ណារ៉ា</t>
  </si>
  <si>
    <t>ងី សុភនាថ</t>
  </si>
  <si>
    <t>ពៅ សភាវី</t>
  </si>
  <si>
    <t>ដារ៉ា រ័ត្ន</t>
  </si>
  <si>
    <t>លឹម​ សុធារ៉ា</t>
  </si>
  <si>
    <t>លឹម​ ចាន់ធូ</t>
  </si>
  <si>
    <t>ចំនួនសិស្ស</t>
  </si>
  <si>
    <t>រៀនជាប់</t>
  </si>
  <si>
    <t>រៀនធ្លាក់</t>
  </si>
  <si>
    <t>First names</t>
  </si>
  <si>
    <t>Last name</t>
  </si>
  <si>
    <t>Full name</t>
  </si>
  <si>
    <t>sex</t>
  </si>
  <si>
    <t>Date of Birthday</t>
  </si>
  <si>
    <t>Salary + Add 10%</t>
  </si>
  <si>
    <t>Total in dollar</t>
  </si>
  <si>
    <t>ប្រសិន​បើ</t>
  </si>
  <si>
    <t>"Weak"</t>
  </si>
  <si>
    <t xml:space="preserve">ពិន្ទុតិចជាង​ ៥ នោះនិទ្ទេស </t>
  </si>
  <si>
    <t xml:space="preserve">ពិន្ទុតិចជាង ៧ នោះនិទ្ទេស </t>
  </si>
  <si>
    <t xml:space="preserve">ពិន្ទុតិចជាង ៨ នោះនិទ្ទេស </t>
  </si>
  <si>
    <t xml:space="preserve">ពិន្ទុតិចជាង ៩ នោះនិទ្ទេស </t>
  </si>
  <si>
    <t xml:space="preserve"> - Price Unite for Sale</t>
  </si>
  <si>
    <t xml:space="preserve"> -Amount of Sale After discount </t>
  </si>
  <si>
    <t>ពិន្ទុចាប់ពី៩ឡើងទៅ នោះនិទ្ទេស "Very Good"</t>
  </si>
  <si>
    <t>"Medium"</t>
  </si>
  <si>
    <t>"Fail"</t>
  </si>
  <si>
    <t>"Good"</t>
  </si>
  <si>
    <t>Vibol</t>
  </si>
  <si>
    <t>Sopheak</t>
  </si>
  <si>
    <t>Dany</t>
  </si>
  <si>
    <t>Sovann</t>
  </si>
  <si>
    <t>Serey</t>
  </si>
  <si>
    <t>chamroeun</t>
  </si>
  <si>
    <t>Rathanak</t>
  </si>
  <si>
    <t>Phearun</t>
  </si>
  <si>
    <t>Leakhena</t>
  </si>
  <si>
    <t>Somphors</t>
  </si>
  <si>
    <t>Staff's Salary</t>
  </si>
  <si>
    <t>BirthDate</t>
  </si>
  <si>
    <t>Salary with
Tax 5%</t>
  </si>
  <si>
    <t>Age</t>
  </si>
  <si>
    <t>Retired</t>
  </si>
  <si>
    <t>Staff</t>
  </si>
  <si>
    <t>Accounting</t>
  </si>
  <si>
    <t>Secretary</t>
  </si>
  <si>
    <t>Administator</t>
  </si>
  <si>
    <t>Notes:</t>
  </si>
  <si>
    <t>១-បើសិនជាបុគ្គលិកណាដែលមានប្រាក់ខែចាប់ពី​ ២០០ ដុល្លាឡើងទៅត្រូវបង់ពន្ធចូនរដ្ឋ ៥%</t>
  </si>
  <si>
    <t>PEPY Department Store</t>
  </si>
  <si>
    <t>Exchange Rate: 1 $ = 4,000 R</t>
  </si>
  <si>
    <t>Goods</t>
  </si>
  <si>
    <t>Quantities</t>
  </si>
  <si>
    <t>Price in Riels</t>
  </si>
  <si>
    <t>Total in Riels</t>
  </si>
  <si>
    <t>Total in Dollar</t>
  </si>
  <si>
    <t>Remain in Riels</t>
  </si>
  <si>
    <t>Burger</t>
  </si>
  <si>
    <t>Milk</t>
  </si>
  <si>
    <t>Ozone</t>
  </si>
  <si>
    <t>Coca Cola</t>
  </si>
  <si>
    <t>Tiger beer</t>
  </si>
  <si>
    <t>Apple</t>
  </si>
  <si>
    <t>Sprite</t>
  </si>
  <si>
    <t>Fanta</t>
  </si>
  <si>
    <t>Chocolate</t>
  </si>
  <si>
    <t>Lobster</t>
  </si>
  <si>
    <t>Lettuce</t>
  </si>
  <si>
    <t>Carrots</t>
  </si>
  <si>
    <t>Tomatoes</t>
  </si>
  <si>
    <t>Potatoes</t>
  </si>
  <si>
    <t>Corn</t>
  </si>
  <si>
    <t>Ripe</t>
  </si>
  <si>
    <t>Chiken</t>
  </si>
  <si>
    <t>Bread</t>
  </si>
  <si>
    <t>Fish</t>
  </si>
  <si>
    <t>Cake</t>
  </si>
  <si>
    <t>Pineapple</t>
  </si>
  <si>
    <t>Coconut</t>
  </si>
  <si>
    <t>Papaya</t>
  </si>
  <si>
    <t>Package</t>
  </si>
  <si>
    <t>Otopus</t>
  </si>
  <si>
    <t>Crab</t>
  </si>
  <si>
    <t>Watermelon</t>
  </si>
  <si>
    <t>Note:</t>
  </si>
  <si>
    <t>Exchange Rate :</t>
  </si>
  <si>
    <t>អត្រាប្ដូរប្រាក់</t>
  </si>
  <si>
    <t>Goods :</t>
  </si>
  <si>
    <t>ទំនិញ</t>
  </si>
  <si>
    <t>Price in Riels :</t>
  </si>
  <si>
    <t>តំលៃគិតជារៀល</t>
  </si>
  <si>
    <t>Total in Riels :</t>
  </si>
  <si>
    <t>សរុបគិតជារៀល</t>
  </si>
  <si>
    <t>Total in Dollar :</t>
  </si>
  <si>
    <t>សរុបគិតជាដុល្លា</t>
  </si>
  <si>
    <t>សំណល់​ គិតជារៀល</t>
  </si>
  <si>
    <t>Chan</t>
  </si>
  <si>
    <t>Sok</t>
  </si>
  <si>
    <t>Sothea</t>
  </si>
  <si>
    <t>Chhoum</t>
  </si>
  <si>
    <t>Dy</t>
  </si>
  <si>
    <t>Da</t>
  </si>
  <si>
    <t>Hak</t>
  </si>
  <si>
    <t>Income Statement For Year 2013</t>
  </si>
  <si>
    <t>Items</t>
  </si>
  <si>
    <t>January</t>
  </si>
  <si>
    <t>February</t>
  </si>
  <si>
    <t>March</t>
  </si>
  <si>
    <t>April</t>
  </si>
  <si>
    <t>Sales</t>
  </si>
  <si>
    <t>:ការលក់ទំនិញ</t>
  </si>
  <si>
    <t xml:space="preserve">         Interest Income</t>
  </si>
  <si>
    <t>:ចំនូលបានពីការប្រាក់</t>
  </si>
  <si>
    <t xml:space="preserve">        Other Income</t>
  </si>
  <si>
    <t>:ចំនូលផ្សេងៗ</t>
  </si>
  <si>
    <t xml:space="preserve">          Total Revenue</t>
  </si>
  <si>
    <t>:ប្រាក់ចំនូលសរុ​ប</t>
  </si>
  <si>
    <t>:ការទិញទំនិញ</t>
  </si>
  <si>
    <t xml:space="preserve">      Gross Profits</t>
  </si>
  <si>
    <t>:ប្រាក់ចំនិញដុល</t>
  </si>
  <si>
    <t>Operating Expense</t>
  </si>
  <si>
    <t>:ប្រតិបត្តិការចំណាយទូទៅ</t>
  </si>
  <si>
    <t xml:space="preserve">         Transprotation Expense</t>
  </si>
  <si>
    <t>:ការចំណាយលើសេវាកម្មដឹកជញ្ជូន</t>
  </si>
  <si>
    <t xml:space="preserve">          Utilities Expense</t>
  </si>
  <si>
    <t>:ការចំណាយទៅលើទឹក ភ្លើង ទូរស័ព្ទ..</t>
  </si>
  <si>
    <t xml:space="preserve">          Interest Expense</t>
  </si>
  <si>
    <t>:ការចំណាយទៅលើការប្រាក់</t>
  </si>
  <si>
    <t xml:space="preserve">          Salaries Expense</t>
  </si>
  <si>
    <t>:ការចំណាទៅលើប្រាក់ខែ</t>
  </si>
  <si>
    <t xml:space="preserve">          Other Expense</t>
  </si>
  <si>
    <t>:ការចំណាយផ្សេងៗ</t>
  </si>
  <si>
    <r>
      <t xml:space="preserve">       </t>
    </r>
    <r>
      <rPr>
        <b/>
        <sz val="11"/>
        <color theme="1"/>
        <rFont val="Calibri"/>
        <family val="2"/>
        <scheme val="minor"/>
      </rPr>
      <t xml:space="preserve">   Total Operating Expense</t>
    </r>
  </si>
  <si>
    <t>:ការសរុបការចំណាយទូទៅ</t>
  </si>
  <si>
    <t>តារាងប្រាក់ម៉ោងធ្វើការ</t>
  </si>
  <si>
    <t>N</t>
  </si>
  <si>
    <t>Staff Name</t>
  </si>
  <si>
    <t>Time In</t>
  </si>
  <si>
    <t>Time Out</t>
  </si>
  <si>
    <t>Working</t>
  </si>
  <si>
    <t>Fee/hour</t>
  </si>
  <si>
    <t>Total Salary</t>
  </si>
  <si>
    <t>Torng Sophy</t>
  </si>
  <si>
    <t>Chea Leakhena</t>
  </si>
  <si>
    <t>Orn Makara</t>
  </si>
  <si>
    <t>Soth Panha</t>
  </si>
  <si>
    <t>Earm Sophea</t>
  </si>
  <si>
    <t>Chhorn Vanny</t>
  </si>
  <si>
    <t>Neang Dyna</t>
  </si>
  <si>
    <t>Doung Kanika</t>
  </si>
  <si>
    <t>បញ្ជីឈ្មោះបុប្គលិក</t>
  </si>
  <si>
    <t>​ -ចូរបង្កើ់តតារាងដូចខាងក្រោមៈ</t>
  </si>
  <si>
    <t>ឈ្មោះ</t>
  </si>
  <si>
    <t>ថ្ងៃចែឆ្នាំកំណើត</t>
  </si>
  <si>
    <t>ទីកន្លែងកំណើត</t>
  </si>
  <si>
    <t>មុខងារ</t>
  </si>
  <si>
    <t>ប្រាក់ខែ</t>
  </si>
  <si>
    <t>Roeun Socheat</t>
  </si>
  <si>
    <t>Vong Sivneth</t>
  </si>
  <si>
    <t>Employee</t>
  </si>
  <si>
    <t>Nam Somphors</t>
  </si>
  <si>
    <t>Mou Sokea</t>
  </si>
  <si>
    <t>Professor</t>
  </si>
  <si>
    <t>chhoeung Chhiv Earm</t>
  </si>
  <si>
    <t>Bantheay Meanchey</t>
  </si>
  <si>
    <t>Cheae pum</t>
  </si>
  <si>
    <t>Kong Chamrong</t>
  </si>
  <si>
    <t>Chhov Phally</t>
  </si>
  <si>
    <t>In Tith</t>
  </si>
  <si>
    <t>Chea Sun Po</t>
  </si>
  <si>
    <t>Khun Sovuon</t>
  </si>
  <si>
    <t>Lak Sinen</t>
  </si>
  <si>
    <t>Sihanouk Ville</t>
  </si>
  <si>
    <t>Mao Rathpisith</t>
  </si>
  <si>
    <t>Mour Mony</t>
  </si>
  <si>
    <t>Chhiv Vansak</t>
  </si>
  <si>
    <t>Seng Pheng</t>
  </si>
  <si>
    <t>Hong Bunnly</t>
  </si>
  <si>
    <t>My Marady</t>
  </si>
  <si>
    <t>Ly Heang</t>
  </si>
  <si>
    <t>Phay Norn</t>
  </si>
  <si>
    <t>Chan Norith</t>
  </si>
  <si>
    <t>Svay Reing</t>
  </si>
  <si>
    <t>Sing Thea</t>
  </si>
  <si>
    <t>Buol Hul</t>
  </si>
  <si>
    <t>Chhay Vuthy</t>
  </si>
  <si>
    <t>Khiev kanith</t>
  </si>
  <si>
    <t xml:space="preserve"> -ចូររប់ចំនួនបុគ្គលិក  និង គណនាប្រាក់ខែដូចខាងក្រោមៈ</t>
  </si>
  <si>
    <t>កំនត់</t>
  </si>
  <si>
    <t>សរុបចំនួន</t>
  </si>
  <si>
    <t>សរុបប្រាក់ខែ</t>
  </si>
  <si>
    <t>ភេទស្រី</t>
  </si>
  <si>
    <t>ភ្នំពេញ</t>
  </si>
  <si>
    <t>កើតមុន ១៧មេសា ១៩៧៥</t>
  </si>
  <si>
    <t>ប្រាក់ខែ២០០ដុល្លា</t>
  </si>
  <si>
    <t>Cleaner</t>
  </si>
  <si>
    <t>Security</t>
  </si>
  <si>
    <t>No ID</t>
  </si>
  <si>
    <t>Full Name</t>
  </si>
  <si>
    <t>Date of Birth</t>
  </si>
  <si>
    <t>Salary +Add 15%</t>
  </si>
  <si>
    <t xml:space="preserve"> - ប្រាក់ខែចាប់ពី​ ១៥០ ដុល្លាឡើងទៅត្រូវបង់ពន្ធជូនរដ្ឋ ៣ %</t>
  </si>
  <si>
    <t>​ -​ ប្រាក់ខែចាប់ពី ១២០ ដុល្លាឡើងទៅត្រូវបង់ពន្ធជូនរដ្ឋ ១%</t>
  </si>
  <si>
    <t>២- ប្រុសចូលនិវត្តន៍នូវអាយុ ៦០ ឆ្នាំ និង ស្រី ចូលនិវត្តន៍នូវអាយុ ៥៥ ៥៥ ឆ្នាំ</t>
  </si>
  <si>
    <t>Tax</t>
  </si>
  <si>
    <t>Current Age</t>
  </si>
  <si>
    <t>Retired Date</t>
  </si>
  <si>
    <t>: ប្រាក់ខែបុគ្គលិក</t>
  </si>
  <si>
    <t>: បង់ពន្ធ</t>
  </si>
  <si>
    <t>: អាយុបច្ចុប្បន្ន</t>
  </si>
  <si>
    <t>: ​កាលបិច្ឆេទចូលនិវត្តន៍</t>
  </si>
  <si>
    <t>Total :</t>
  </si>
  <si>
    <t>Student List</t>
  </si>
  <si>
    <t>St ID</t>
  </si>
  <si>
    <t>Surname
Lastname</t>
  </si>
  <si>
    <t>Khmer</t>
  </si>
  <si>
    <t>Mathematic</t>
  </si>
  <si>
    <t>Chemist</t>
  </si>
  <si>
    <t>Physic</t>
  </si>
  <si>
    <t>Philosophy</t>
  </si>
  <si>
    <t>Max</t>
  </si>
  <si>
    <t>Min</t>
  </si>
  <si>
    <t>Result</t>
  </si>
  <si>
    <t>Metion</t>
  </si>
  <si>
    <t>Rank</t>
  </si>
  <si>
    <t>Chan Sovanny</t>
  </si>
  <si>
    <t>Sovan Makara</t>
  </si>
  <si>
    <t>Soa Bunthoeun</t>
  </si>
  <si>
    <t>Revi Liza</t>
  </si>
  <si>
    <t>Vi Sanary</t>
  </si>
  <si>
    <t>Ni Udom</t>
  </si>
  <si>
    <t>Onn Bouna</t>
  </si>
  <si>
    <t>Mey Nasileak</t>
  </si>
  <si>
    <t>Ly Chanthol</t>
  </si>
  <si>
    <t>Thi Malady</t>
  </si>
  <si>
    <t>Veth Vanthana</t>
  </si>
  <si>
    <t>Ung Bunleap</t>
  </si>
  <si>
    <t>Iv Vanthana</t>
  </si>
  <si>
    <t>Leak Thida</t>
  </si>
  <si>
    <t>El sanya</t>
  </si>
  <si>
    <t>ជាប់</t>
  </si>
  <si>
    <t>ធ្លាក់</t>
  </si>
  <si>
    <t>សរុបចំនួនអ្នកប្រលងធ្លាក់ និងជាប់</t>
  </si>
  <si>
    <t>ប្រសិនបើមធ្យមភាគ លើស រឺ ស្មើ ៣៥ នោះលទ្ធផល ជាប់,​ បើតិចជាងគឺ ធ្លាក់</t>
  </si>
  <si>
    <t xml:space="preserve">បើមធ្យមភាគតិចជាង ៣៥ គឺខ្សោយ,តិចជាង ៥០ គឺមធ្យម, តិចជាង ៦០ គឺ ល្អ, តិចជាង ៦៧ ល្អណាស់, លើសពីនេះគឺ ល្អឥតខ្ចោះ </t>
  </si>
  <si>
    <t>ច្រើនជាង២០០ដុល្លា</t>
  </si>
  <si>
    <t>INCOME STATEMENT</t>
  </si>
  <si>
    <t>Kompong Cham</t>
  </si>
  <si>
    <t>kompong Thom</t>
  </si>
  <si>
    <t>De Cription</t>
  </si>
  <si>
    <t>1st Month</t>
  </si>
  <si>
    <t>2nd Month</t>
  </si>
  <si>
    <t>3rd Month</t>
  </si>
  <si>
    <t>4th Month</t>
  </si>
  <si>
    <t>Total in SUA</t>
  </si>
  <si>
    <t>Total in Riel</t>
  </si>
  <si>
    <t>Certificate</t>
  </si>
  <si>
    <t>Sale Bood</t>
  </si>
  <si>
    <t>Rental</t>
  </si>
  <si>
    <t>Meterial</t>
  </si>
  <si>
    <t>Salaries</t>
  </si>
  <si>
    <t>Sercice Internet</t>
  </si>
  <si>
    <t>Rental (Hou e)</t>
  </si>
  <si>
    <t>Unlilitie</t>
  </si>
  <si>
    <t>Total in USA</t>
  </si>
  <si>
    <t>Total in Come</t>
  </si>
  <si>
    <t>Total Expence</t>
  </si>
  <si>
    <t>Net Icome</t>
  </si>
  <si>
    <t>Birthday</t>
  </si>
  <si>
    <t>Year of age</t>
  </si>
  <si>
    <t>Month of age</t>
  </si>
  <si>
    <t>Day of age</t>
  </si>
  <si>
    <t>Chhunnay</t>
  </si>
  <si>
    <t>Chhunnam</t>
  </si>
  <si>
    <t>Samnang</t>
  </si>
  <si>
    <t>K</t>
  </si>
  <si>
    <t>E</t>
  </si>
  <si>
    <t>P</t>
  </si>
  <si>
    <t>O</t>
  </si>
  <si>
    <t>Q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</si>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</sst>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0"/>
    <numFmt numFmtId="165" formatCode="0.0"/>
    <numFmt numFmtId="166" formatCode="000"/>
    <numFmt numFmtId="167" formatCode="&quot;$&quot;\ #,##0.00"/>
    <numFmt numFmtId="168" formatCode="dd\-mmm\-yy"/>
    <numFmt numFmtId="169" formatCode="&quot;PPG-&quot;000\-&quot; RN &quot;"/>
    <numFmt numFmtId="170" formatCode="#,##0\ &quot;$&quot;"/>
    <numFmt numFmtId="171" formatCode="#,##0\ &quot;Reils&quot;"/>
    <numFmt numFmtId="172" formatCode="[$-12000425]0"/>
    <numFmt numFmtId="173" formatCode="0000"/>
    <numFmt numFmtId="174" formatCode="ddd\-dd\-mmm\-yy"/>
    <numFmt numFmtId="175" formatCode="#,##0\ &quot;Case&quot;"/>
    <numFmt numFmtId="176" formatCode="#,##0\ &quot;Bath&quot;"/>
    <numFmt numFmtId="177" formatCode="#,##0.00\ &quot;$&quot;"/>
    <numFmt numFmtId="178" formatCode="#,##0\ &quot;Riel&quot;"/>
    <numFmt numFmtId="179" formatCode="0.00\ &quot;$&quot;"/>
    <numFmt numFmtId="180" formatCode="0\ &quot;$&quot;"/>
    <numFmt numFmtId="181" formatCode="dd\-&quot;Jun&quot;\-&quot;01&quot;"/>
    <numFmt numFmtId="182" formatCode="0.0\ &quot;$&quot;"/>
    <numFmt numFmtId="183" formatCode="#,##0\ &quot;Riels&quot;"/>
    <numFmt numFmtId="184" formatCode="#,##0\ \ \ &quot;$&quot;"/>
    <numFmt numFmtId="185" formatCode="dd\-mmm\-yyyy"/>
    <numFmt numFmtId="186" formatCode="0\ \ &quot;years&quot;"/>
    <numFmt numFmtId="187" formatCode="h\ &quot;h&quot;:mm\ &quot;mn&quot;"/>
    <numFmt numFmtId="188" formatCode="#,##0\ &quot;R&quot;"/>
    <numFmt numFmtId="189" formatCode="h&quot;h&quot;\ &quot;:&quot;\ mm&quot;mn&quot;"/>
    <numFmt numFmtId="190" formatCode="#,##0.00&quot;$&quot;"/>
    <numFmt numFmtId="191" formatCode="&quot;$&quot;\ 0.00"/>
    <numFmt numFmtId="192" formatCode="h\ &quot;h&quot;\ &quot;:&quot;\ mm\ &quot;mn&quot;"/>
    <numFmt numFmtId="193" formatCode="\(\200\3\)\ \ \ 0\1"/>
    <numFmt numFmtId="194" formatCode="&quot;Riel&quot;\ \ \ \ #,##0"/>
    <numFmt numFmtId="195" formatCode="d\-mmm\-yyyy"/>
    <numFmt numFmtId="196" formatCode="0.0%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Khmer Mool"/>
    </font>
    <font>
      <sz val="7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Khmer OS"/>
    </font>
    <font>
      <b/>
      <sz val="11"/>
      <color theme="1"/>
      <name val="Calibri"/>
      <family val="2"/>
      <scheme val="minor"/>
    </font>
    <font>
      <i/>
      <sz val="11"/>
      <color theme="1"/>
      <name val="Khmer OS"/>
    </font>
    <font>
      <sz val="10"/>
      <color theme="1"/>
      <name val="Khmer OS Freehand"/>
    </font>
    <font>
      <b/>
      <i/>
      <sz val="11"/>
      <color theme="1"/>
      <name val="Calibri"/>
      <family val="2"/>
      <scheme val="minor"/>
    </font>
    <font>
      <sz val="36"/>
      <color theme="4" tint="-0.249977111117893"/>
      <name val="Calibri"/>
      <family val="2"/>
      <scheme val="minor"/>
    </font>
    <font>
      <sz val="11"/>
      <color theme="1"/>
      <name val="Khmer OS"/>
    </font>
    <font>
      <sz val="11"/>
      <color theme="1"/>
      <name val="Cambria"/>
      <family val="2"/>
      <scheme val="major"/>
    </font>
    <font>
      <sz val="10"/>
      <name val="Arial"/>
      <family val="2"/>
    </font>
    <font>
      <sz val="10"/>
      <name val="Khmer OS"/>
    </font>
    <font>
      <sz val="11"/>
      <color theme="1"/>
      <name val="Khmer OS Bokor"/>
    </font>
    <font>
      <sz val="36"/>
      <color theme="1"/>
      <name val="Khmer OS Bokor"/>
    </font>
    <font>
      <sz val="11"/>
      <color theme="1"/>
      <name val="Kh Freehand"/>
    </font>
    <font>
      <u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1"/>
      <name val="Khmer OS Muol Light"/>
    </font>
    <font>
      <u/>
      <sz val="12"/>
      <color theme="1"/>
      <name val="Khmer OS"/>
    </font>
    <font>
      <sz val="12"/>
      <color theme="1"/>
      <name val="Khmer OS"/>
    </font>
    <font>
      <sz val="10"/>
      <color theme="1"/>
      <name val="Khmer OS Muol"/>
    </font>
    <font>
      <sz val="10"/>
      <color theme="1"/>
      <name val="Khmer OS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Khmer OS"/>
    </font>
    <font>
      <sz val="28"/>
      <color theme="1"/>
      <name val="Arial Black"/>
      <family val="2"/>
    </font>
    <font>
      <sz val="8"/>
      <color theme="1"/>
      <name val="Khmer Mondulkiri-s xdict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Khmer OS Siemreap"/>
    </font>
    <font>
      <sz val="12"/>
      <color theme="1"/>
      <name val="Cambria"/>
      <family val="1"/>
      <scheme val="major"/>
    </font>
    <font>
      <sz val="9"/>
      <color theme="1"/>
      <name val="Khmer OS Siemreap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Khmer OS Metal Chrieng"/>
    </font>
    <font>
      <b/>
      <sz val="20"/>
      <color theme="1"/>
      <name val="Calibri"/>
      <family val="2"/>
      <scheme val="minor"/>
    </font>
    <font>
      <sz val="11"/>
      <color theme="1"/>
      <name val="Khmer Mondulkiri-s xdict"/>
    </font>
    <font>
      <sz val="7"/>
      <color theme="1"/>
      <name val="Khmer OS Siemreap"/>
    </font>
    <font>
      <sz val="8"/>
      <color theme="1"/>
      <name val="Khmer OS System"/>
    </font>
    <font>
      <sz val="4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2" fillId="0" borderId="0"/>
    <xf numFmtId="9" fontId="3" fillId="0" borderId="0" applyFont="0" applyFill="0" applyBorder="0" applyAlignment="0" applyProtection="0"/>
  </cellStyleXfs>
  <cellXfs count="402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5" fontId="0" fillId="0" borderId="0" xfId="0" applyNumberFormat="1"/>
    <xf numFmtId="165" fontId="0" fillId="0" borderId="1" xfId="0" applyNumberFormat="1" applyBorder="1"/>
    <xf numFmtId="1" fontId="0" fillId="0" borderId="1" xfId="0" applyNumberFormat="1" applyBorder="1"/>
    <xf numFmtId="164" fontId="0" fillId="0" borderId="3" xfId="0" applyNumberFormat="1" applyBorder="1"/>
    <xf numFmtId="165" fontId="0" fillId="0" borderId="3" xfId="0" applyNumberFormat="1" applyBorder="1"/>
    <xf numFmtId="0" fontId="0" fillId="0" borderId="3" xfId="0" applyBorder="1"/>
    <xf numFmtId="164" fontId="0" fillId="0" borderId="4" xfId="0" applyNumberFormat="1" applyBorder="1"/>
    <xf numFmtId="165" fontId="0" fillId="0" borderId="5" xfId="0" applyNumberFormat="1" applyBorder="1"/>
    <xf numFmtId="0" fontId="0" fillId="0" borderId="5" xfId="0" applyBorder="1"/>
    <xf numFmtId="0" fontId="0" fillId="0" borderId="6" xfId="0" applyBorder="1"/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5" fontId="0" fillId="0" borderId="1" xfId="0" applyNumberFormat="1" applyBorder="1"/>
    <xf numFmtId="167" fontId="0" fillId="0" borderId="1" xfId="0" applyNumberFormat="1" applyBorder="1"/>
    <xf numFmtId="168" fontId="0" fillId="0" borderId="1" xfId="0" applyNumberFormat="1" applyBorder="1"/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44" fontId="0" fillId="0" borderId="1" xfId="1" applyFont="1" applyBorder="1" applyAlignment="1">
      <alignment horizontal="center"/>
    </xf>
    <xf numFmtId="44" fontId="0" fillId="0" borderId="1" xfId="0" applyNumberFormat="1" applyBorder="1"/>
    <xf numFmtId="44" fontId="0" fillId="0" borderId="1" xfId="1" applyFont="1" applyBorder="1" applyAlignment="1"/>
    <xf numFmtId="14" fontId="0" fillId="0" borderId="0" xfId="0" applyNumberFormat="1"/>
    <xf numFmtId="168" fontId="0" fillId="0" borderId="0" xfId="0" applyNumberFormat="1"/>
    <xf numFmtId="44" fontId="0" fillId="0" borderId="0" xfId="0" applyNumberFormat="1"/>
    <xf numFmtId="0" fontId="0" fillId="0" borderId="0" xfId="0" applyAlignment="1">
      <alignment horizontal="left"/>
    </xf>
    <xf numFmtId="0" fontId="0" fillId="0" borderId="1" xfId="0" applyFont="1" applyBorder="1"/>
    <xf numFmtId="166" fontId="0" fillId="0" borderId="1" xfId="0" applyNumberFormat="1" applyBorder="1" applyAlignment="1">
      <alignment horizontal="left"/>
    </xf>
    <xf numFmtId="166" fontId="0" fillId="0" borderId="0" xfId="0" applyNumberFormat="1" applyBorder="1" applyAlignment="1">
      <alignment horizontal="center"/>
    </xf>
    <xf numFmtId="168" fontId="0" fillId="0" borderId="1" xfId="0" applyNumberFormat="1" applyBorder="1" applyAlignment="1">
      <alignment horizontal="left"/>
    </xf>
    <xf numFmtId="169" fontId="0" fillId="0" borderId="1" xfId="0" applyNumberFormat="1" applyBorder="1" applyAlignment="1">
      <alignment horizontal="center"/>
    </xf>
    <xf numFmtId="0" fontId="6" fillId="0" borderId="0" xfId="0" applyFont="1" applyBorder="1" applyAlignment="1">
      <alignment horizontal="left" readingOrder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166" fontId="0" fillId="0" borderId="1" xfId="0" applyNumberFormat="1" applyBorder="1" applyAlignment="1"/>
    <xf numFmtId="170" fontId="0" fillId="0" borderId="1" xfId="1" applyNumberFormat="1" applyFont="1" applyBorder="1"/>
    <xf numFmtId="170" fontId="0" fillId="0" borderId="1" xfId="0" applyNumberFormat="1" applyBorder="1"/>
    <xf numFmtId="170" fontId="0" fillId="2" borderId="1" xfId="0" applyNumberFormat="1" applyFill="1" applyBorder="1"/>
    <xf numFmtId="170" fontId="0" fillId="2" borderId="9" xfId="1" applyNumberFormat="1" applyFont="1" applyFill="1" applyBorder="1"/>
    <xf numFmtId="170" fontId="0" fillId="2" borderId="9" xfId="0" applyNumberFormat="1" applyFill="1" applyBorder="1"/>
    <xf numFmtId="170" fontId="0" fillId="2" borderId="5" xfId="0" applyNumberFormat="1" applyFill="1" applyBorder="1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11" fillId="0" borderId="20" xfId="0" applyFont="1" applyBorder="1"/>
    <xf numFmtId="0" fontId="0" fillId="0" borderId="24" xfId="0" applyBorder="1" applyAlignment="1">
      <alignment horizontal="center" vertical="center" wrapText="1"/>
    </xf>
    <xf numFmtId="0" fontId="11" fillId="0" borderId="24" xfId="0" applyFont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21" xfId="0" applyBorder="1"/>
    <xf numFmtId="0" fontId="0" fillId="0" borderId="22" xfId="0" applyBorder="1"/>
    <xf numFmtId="0" fontId="10" fillId="0" borderId="23" xfId="0" applyFont="1" applyBorder="1" applyAlignment="1">
      <alignment horizontal="center"/>
    </xf>
    <xf numFmtId="167" fontId="0" fillId="0" borderId="25" xfId="0" applyNumberFormat="1" applyBorder="1"/>
    <xf numFmtId="171" fontId="0" fillId="0" borderId="25" xfId="0" applyNumberFormat="1" applyBorder="1"/>
    <xf numFmtId="0" fontId="0" fillId="0" borderId="23" xfId="0" applyBorder="1"/>
    <xf numFmtId="0" fontId="13" fillId="3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167" fontId="13" fillId="3" borderId="1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7" fontId="0" fillId="0" borderId="20" xfId="0" applyNumberFormat="1" applyBorder="1"/>
    <xf numFmtId="171" fontId="0" fillId="0" borderId="20" xfId="0" applyNumberFormat="1" applyBorder="1"/>
    <xf numFmtId="0" fontId="0" fillId="0" borderId="24" xfId="0" applyBorder="1" applyAlignment="1">
      <alignment horizontal="center" vertical="center"/>
    </xf>
    <xf numFmtId="167" fontId="0" fillId="0" borderId="24" xfId="0" applyNumberFormat="1" applyBorder="1"/>
    <xf numFmtId="171" fontId="0" fillId="0" borderId="24" xfId="0" applyNumberFormat="1" applyBorder="1"/>
    <xf numFmtId="0" fontId="0" fillId="0" borderId="24" xfId="0" applyBorder="1"/>
    <xf numFmtId="0" fontId="10" fillId="0" borderId="0" xfId="0" applyFont="1" applyBorder="1"/>
    <xf numFmtId="0" fontId="10" fillId="0" borderId="17" xfId="0" applyFont="1" applyBorder="1" applyAlignment="1">
      <alignment horizontal="center"/>
    </xf>
    <xf numFmtId="167" fontId="1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14" fillId="0" borderId="26" xfId="0" applyFont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textRotation="90"/>
    </xf>
    <xf numFmtId="0" fontId="14" fillId="0" borderId="27" xfId="0" applyFont="1" applyBorder="1" applyAlignment="1">
      <alignment horizontal="center" vertical="center"/>
    </xf>
    <xf numFmtId="0" fontId="0" fillId="0" borderId="26" xfId="0" applyBorder="1"/>
    <xf numFmtId="0" fontId="0" fillId="0" borderId="1" xfId="0" applyBorder="1" applyAlignment="1">
      <alignment horizontal="center" vertical="center"/>
    </xf>
    <xf numFmtId="173" fontId="0" fillId="0" borderId="1" xfId="0" applyNumberFormat="1" applyBorder="1"/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" xfId="0" applyBorder="1"/>
    <xf numFmtId="173" fontId="0" fillId="0" borderId="9" xfId="0" applyNumberFormat="1" applyBorder="1"/>
    <xf numFmtId="0" fontId="0" fillId="0" borderId="16" xfId="0" applyBorder="1" applyAlignment="1"/>
    <xf numFmtId="0" fontId="0" fillId="0" borderId="0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19" xfId="0" applyBorder="1" applyAlignment="1"/>
    <xf numFmtId="1" fontId="13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174" fontId="0" fillId="0" borderId="1" xfId="0" applyNumberFormat="1" applyBorder="1"/>
    <xf numFmtId="175" fontId="0" fillId="0" borderId="1" xfId="0" applyNumberFormat="1" applyBorder="1"/>
    <xf numFmtId="176" fontId="0" fillId="6" borderId="1" xfId="0" applyNumberFormat="1" applyFill="1" applyBorder="1"/>
    <xf numFmtId="166" fontId="0" fillId="6" borderId="1" xfId="0" applyNumberFormat="1" applyFill="1" applyBorder="1"/>
    <xf numFmtId="175" fontId="0" fillId="6" borderId="1" xfId="0" applyNumberFormat="1" applyFill="1" applyBorder="1"/>
    <xf numFmtId="170" fontId="0" fillId="6" borderId="1" xfId="0" applyNumberFormat="1" applyFill="1" applyBorder="1"/>
    <xf numFmtId="166" fontId="0" fillId="0" borderId="21" xfId="0" applyNumberFormat="1" applyBorder="1" applyAlignment="1"/>
    <xf numFmtId="166" fontId="0" fillId="0" borderId="22" xfId="0" applyNumberFormat="1" applyBorder="1" applyAlignment="1"/>
    <xf numFmtId="166" fontId="0" fillId="0" borderId="23" xfId="0" applyNumberFormat="1" applyBorder="1" applyAlignment="1"/>
    <xf numFmtId="166" fontId="0" fillId="0" borderId="16" xfId="0" applyNumberFormat="1" applyBorder="1" applyAlignment="1"/>
    <xf numFmtId="166" fontId="0" fillId="0" borderId="0" xfId="0" applyNumberFormat="1" applyBorder="1" applyAlignment="1"/>
    <xf numFmtId="166" fontId="0" fillId="0" borderId="17" xfId="0" applyNumberFormat="1" applyBorder="1" applyAlignment="1"/>
    <xf numFmtId="166" fontId="0" fillId="0" borderId="18" xfId="0" applyNumberFormat="1" applyBorder="1" applyAlignment="1"/>
    <xf numFmtId="166" fontId="0" fillId="0" borderId="2" xfId="0" applyNumberFormat="1" applyBorder="1" applyAlignment="1"/>
    <xf numFmtId="166" fontId="0" fillId="0" borderId="19" xfId="0" applyNumberFormat="1" applyBorder="1" applyAlignment="1"/>
    <xf numFmtId="166" fontId="0" fillId="0" borderId="21" xfId="0" applyNumberFormat="1" applyBorder="1" applyAlignment="1">
      <alignment horizontal="left" vertical="center"/>
    </xf>
    <xf numFmtId="166" fontId="0" fillId="0" borderId="22" xfId="0" applyNumberFormat="1" applyBorder="1" applyAlignment="1">
      <alignment vertical="center"/>
    </xf>
    <xf numFmtId="166" fontId="0" fillId="0" borderId="23" xfId="0" applyNumberFormat="1" applyBorder="1" applyAlignment="1">
      <alignment vertical="center"/>
    </xf>
    <xf numFmtId="166" fontId="17" fillId="0" borderId="16" xfId="0" applyNumberFormat="1" applyFont="1" applyBorder="1" applyAlignment="1">
      <alignment vertical="center"/>
    </xf>
    <xf numFmtId="166" fontId="0" fillId="0" borderId="0" xfId="0" applyNumberFormat="1" applyBorder="1" applyAlignment="1">
      <alignment vertical="center"/>
    </xf>
    <xf numFmtId="166" fontId="0" fillId="0" borderId="17" xfId="0" applyNumberFormat="1" applyBorder="1" applyAlignment="1">
      <alignment vertical="center"/>
    </xf>
    <xf numFmtId="166" fontId="0" fillId="0" borderId="16" xfId="0" applyNumberFormat="1" applyBorder="1" applyAlignment="1">
      <alignment vertical="center"/>
    </xf>
    <xf numFmtId="166" fontId="0" fillId="0" borderId="18" xfId="0" applyNumberFormat="1" applyBorder="1" applyAlignment="1">
      <alignment vertical="center"/>
    </xf>
    <xf numFmtId="166" fontId="0" fillId="0" borderId="2" xfId="0" applyNumberFormat="1" applyBorder="1" applyAlignment="1">
      <alignment vertical="center"/>
    </xf>
    <xf numFmtId="166" fontId="0" fillId="0" borderId="19" xfId="0" applyNumberFormat="1" applyBorder="1" applyAlignment="1">
      <alignment vertical="center"/>
    </xf>
    <xf numFmtId="178" fontId="0" fillId="6" borderId="1" xfId="0" applyNumberFormat="1" applyFill="1" applyBorder="1"/>
    <xf numFmtId="179" fontId="0" fillId="0" borderId="1" xfId="0" applyNumberFormat="1" applyBorder="1"/>
    <xf numFmtId="180" fontId="0" fillId="6" borderId="1" xfId="0" applyNumberFormat="1" applyFill="1" applyBorder="1"/>
    <xf numFmtId="175" fontId="0" fillId="0" borderId="1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80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75" fontId="0" fillId="0" borderId="1" xfId="0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0" fillId="0" borderId="21" xfId="0" applyFont="1" applyBorder="1" applyAlignment="1"/>
    <xf numFmtId="0" fontId="0" fillId="0" borderId="18" xfId="0" applyBorder="1" applyAlignment="1">
      <alignment vertical="center"/>
    </xf>
    <xf numFmtId="0" fontId="4" fillId="0" borderId="2" xfId="0" applyFont="1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175" fontId="0" fillId="7" borderId="1" xfId="0" applyNumberFormat="1" applyFill="1" applyBorder="1" applyAlignment="1">
      <alignment horizontal="center" vertical="center"/>
    </xf>
    <xf numFmtId="0" fontId="0" fillId="0" borderId="0" xfId="0" applyAlignment="1"/>
    <xf numFmtId="175" fontId="0" fillId="9" borderId="9" xfId="0" applyNumberFormat="1" applyFill="1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184" fontId="0" fillId="10" borderId="1" xfId="0" applyNumberFormat="1" applyFill="1" applyBorder="1" applyAlignment="1">
      <alignment horizontal="center" vertical="center"/>
    </xf>
    <xf numFmtId="178" fontId="0" fillId="10" borderId="1" xfId="0" applyNumberFormat="1" applyFill="1" applyBorder="1" applyAlignment="1">
      <alignment horizontal="center" vertical="center"/>
    </xf>
    <xf numFmtId="170" fontId="0" fillId="0" borderId="1" xfId="0" applyNumberFormat="1" applyBorder="1" applyAlignment="1">
      <alignment horizontal="center" vertical="center"/>
    </xf>
    <xf numFmtId="170" fontId="0" fillId="10" borderId="1" xfId="0" applyNumberFormat="1" applyFill="1" applyBorder="1" applyAlignment="1">
      <alignment horizontal="center" vertical="center"/>
    </xf>
    <xf numFmtId="175" fontId="0" fillId="10" borderId="1" xfId="0" applyNumberFormat="1" applyFill="1" applyBorder="1" applyAlignment="1">
      <alignment horizontal="center" vertical="center"/>
    </xf>
    <xf numFmtId="175" fontId="0" fillId="8" borderId="1" xfId="0" applyNumberFormat="1" applyFill="1" applyBorder="1" applyAlignment="1">
      <alignment horizontal="center" vertical="center"/>
    </xf>
    <xf numFmtId="184" fontId="0" fillId="8" borderId="1" xfId="0" applyNumberFormat="1" applyFill="1" applyBorder="1" applyAlignment="1">
      <alignment horizontal="center" vertical="center"/>
    </xf>
    <xf numFmtId="178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0" fontId="0" fillId="8" borderId="1" xfId="0" applyNumberForma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3" xfId="0" applyBorder="1" applyAlignment="1"/>
    <xf numFmtId="166" fontId="0" fillId="0" borderId="1" xfId="0" applyNumberFormat="1" applyBorder="1"/>
    <xf numFmtId="0" fontId="0" fillId="0" borderId="2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23" fillId="0" borderId="1" xfId="0" applyFont="1" applyBorder="1" applyAlignment="1">
      <alignment horizontal="left" vertical="center"/>
    </xf>
    <xf numFmtId="0" fontId="24" fillId="0" borderId="0" xfId="0" applyFont="1"/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185" fontId="0" fillId="0" borderId="1" xfId="0" applyNumberFormat="1" applyBorder="1"/>
    <xf numFmtId="44" fontId="0" fillId="0" borderId="1" xfId="1" applyFont="1" applyBorder="1"/>
    <xf numFmtId="186" fontId="0" fillId="0" borderId="1" xfId="0" applyNumberFormat="1" applyBorder="1"/>
    <xf numFmtId="0" fontId="23" fillId="0" borderId="1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187" fontId="0" fillId="0" borderId="0" xfId="0" applyNumberFormat="1"/>
    <xf numFmtId="188" fontId="0" fillId="0" borderId="1" xfId="0" applyNumberFormat="1" applyBorder="1"/>
    <xf numFmtId="0" fontId="28" fillId="0" borderId="0" xfId="0" applyFont="1"/>
    <xf numFmtId="0" fontId="0" fillId="0" borderId="2" xfId="0" applyBorder="1" applyAlignment="1">
      <alignment horizontal="right"/>
    </xf>
    <xf numFmtId="0" fontId="0" fillId="0" borderId="19" xfId="0" applyBorder="1"/>
    <xf numFmtId="0" fontId="0" fillId="0" borderId="16" xfId="0" applyBorder="1" applyAlignment="1">
      <alignment horizontal="center" vertical="center"/>
    </xf>
    <xf numFmtId="44" fontId="0" fillId="11" borderId="1" xfId="1" applyFont="1" applyFill="1" applyBorder="1"/>
    <xf numFmtId="0" fontId="5" fillId="0" borderId="16" xfId="0" applyFont="1" applyBorder="1" applyAlignment="1">
      <alignment horizontal="left"/>
    </xf>
    <xf numFmtId="44" fontId="0" fillId="11" borderId="9" xfId="1" applyFont="1" applyFill="1" applyBorder="1"/>
    <xf numFmtId="0" fontId="0" fillId="0" borderId="15" xfId="0" applyBorder="1" applyAlignment="1">
      <alignment horizontal="center" vertical="center"/>
    </xf>
    <xf numFmtId="189" fontId="0" fillId="0" borderId="1" xfId="0" applyNumberFormat="1" applyBorder="1"/>
    <xf numFmtId="0" fontId="0" fillId="12" borderId="28" xfId="0" applyFill="1" applyBorder="1" applyAlignment="1"/>
    <xf numFmtId="0" fontId="0" fillId="12" borderId="25" xfId="0" applyFill="1" applyBorder="1" applyAlignment="1"/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188" fontId="0" fillId="0" borderId="28" xfId="0" applyNumberFormat="1" applyBorder="1"/>
    <xf numFmtId="191" fontId="0" fillId="0" borderId="1" xfId="1" applyNumberFormat="1" applyFont="1" applyBorder="1"/>
    <xf numFmtId="191" fontId="0" fillId="0" borderId="1" xfId="0" applyNumberFormat="1" applyBorder="1"/>
    <xf numFmtId="0" fontId="31" fillId="0" borderId="0" xfId="0" applyFont="1"/>
    <xf numFmtId="0" fontId="0" fillId="0" borderId="0" xfId="0" applyFont="1"/>
    <xf numFmtId="0" fontId="32" fillId="0" borderId="0" xfId="0" applyFont="1"/>
    <xf numFmtId="0" fontId="33" fillId="0" borderId="0" xfId="0" applyFont="1"/>
    <xf numFmtId="44" fontId="5" fillId="0" borderId="0" xfId="0" applyNumberFormat="1" applyFont="1"/>
    <xf numFmtId="0" fontId="35" fillId="0" borderId="0" xfId="0" applyFont="1"/>
    <xf numFmtId="0" fontId="39" fillId="0" borderId="22" xfId="0" applyFont="1" applyBorder="1"/>
    <xf numFmtId="0" fontId="39" fillId="0" borderId="23" xfId="0" applyFont="1" applyBorder="1"/>
    <xf numFmtId="0" fontId="39" fillId="0" borderId="0" xfId="0" applyFont="1" applyBorder="1"/>
    <xf numFmtId="0" fontId="39" fillId="0" borderId="17" xfId="0" applyFont="1" applyBorder="1"/>
    <xf numFmtId="0" fontId="39" fillId="0" borderId="0" xfId="0" applyFont="1" applyFill="1" applyBorder="1"/>
    <xf numFmtId="0" fontId="0" fillId="0" borderId="36" xfId="0" applyBorder="1" applyAlignment="1">
      <alignment horizontal="center" vertical="top" wrapText="1"/>
    </xf>
    <xf numFmtId="0" fontId="0" fillId="0" borderId="1" xfId="0" applyBorder="1" applyAlignment="1"/>
    <xf numFmtId="2" fontId="0" fillId="0" borderId="1" xfId="0" applyNumberFormat="1" applyBorder="1"/>
    <xf numFmtId="0" fontId="31" fillId="0" borderId="0" xfId="0" applyFont="1" applyBorder="1" applyAlignment="1"/>
    <xf numFmtId="192" fontId="0" fillId="0" borderId="0" xfId="0" applyNumberFormat="1"/>
    <xf numFmtId="192" fontId="0" fillId="0" borderId="1" xfId="0" applyNumberFormat="1" applyBorder="1"/>
    <xf numFmtId="0" fontId="40" fillId="0" borderId="2" xfId="0" applyFont="1" applyBorder="1"/>
    <xf numFmtId="0" fontId="0" fillId="0" borderId="0" xfId="0" applyBorder="1" applyAlignment="1">
      <alignment horizontal="right"/>
    </xf>
    <xf numFmtId="0" fontId="40" fillId="0" borderId="0" xfId="0" applyFont="1" applyBorder="1"/>
    <xf numFmtId="0" fontId="0" fillId="0" borderId="18" xfId="0" applyBorder="1"/>
    <xf numFmtId="193" fontId="0" fillId="0" borderId="1" xfId="0" applyNumberFormat="1" applyBorder="1"/>
    <xf numFmtId="0" fontId="5" fillId="0" borderId="1" xfId="0" applyFont="1" applyBorder="1"/>
    <xf numFmtId="0" fontId="0" fillId="0" borderId="1" xfId="0" applyBorder="1" applyAlignment="1">
      <alignment horizontal="left" vertical="center"/>
    </xf>
    <xf numFmtId="193" fontId="0" fillId="0" borderId="1" xfId="0" applyNumberFormat="1" applyBorder="1" applyAlignment="1">
      <alignment horizontal="left" vertical="center"/>
    </xf>
    <xf numFmtId="42" fontId="0" fillId="0" borderId="0" xfId="0" applyNumberFormat="1"/>
    <xf numFmtId="194" fontId="0" fillId="0" borderId="0" xfId="0" applyNumberFormat="1" applyAlignment="1">
      <alignment horizontal="left"/>
    </xf>
    <xf numFmtId="42" fontId="0" fillId="0" borderId="1" xfId="1" applyNumberFormat="1" applyFont="1" applyBorder="1"/>
    <xf numFmtId="42" fontId="5" fillId="0" borderId="1" xfId="0" applyNumberFormat="1" applyFont="1" applyBorder="1"/>
    <xf numFmtId="42" fontId="0" fillId="0" borderId="1" xfId="1" applyNumberFormat="1" applyFont="1" applyBorder="1" applyAlignment="1">
      <alignment vertical="center"/>
    </xf>
    <xf numFmtId="42" fontId="0" fillId="0" borderId="0" xfId="1" applyNumberFormat="1" applyFont="1"/>
    <xf numFmtId="42" fontId="0" fillId="13" borderId="1" xfId="1" applyNumberFormat="1" applyFont="1" applyFill="1" applyBorder="1"/>
    <xf numFmtId="194" fontId="0" fillId="13" borderId="1" xfId="0" applyNumberFormat="1" applyFill="1" applyBorder="1" applyAlignment="1">
      <alignment horizontal="left"/>
    </xf>
    <xf numFmtId="0" fontId="5" fillId="13" borderId="1" xfId="0" applyFont="1" applyFill="1" applyBorder="1"/>
    <xf numFmtId="42" fontId="0" fillId="13" borderId="1" xfId="1" applyNumberFormat="1" applyFont="1" applyFill="1" applyBorder="1" applyAlignment="1">
      <alignment vertical="center"/>
    </xf>
    <xf numFmtId="42" fontId="0" fillId="13" borderId="1" xfId="1" applyNumberFormat="1" applyFont="1" applyFill="1" applyBorder="1" applyAlignment="1">
      <alignment horizontal="center"/>
    </xf>
    <xf numFmtId="1" fontId="0" fillId="0" borderId="0" xfId="0" applyNumberFormat="1"/>
    <xf numFmtId="0" fontId="0" fillId="0" borderId="1" xfId="0" applyFill="1" applyBorder="1" applyAlignment="1">
      <alignment horizontal="center" vertical="center"/>
    </xf>
    <xf numFmtId="195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44" fontId="0" fillId="0" borderId="0" xfId="1" applyFont="1"/>
    <xf numFmtId="9" fontId="0" fillId="0" borderId="0" xfId="3" applyFont="1"/>
    <xf numFmtId="196" fontId="0" fillId="0" borderId="0" xfId="3" applyNumberFormat="1" applyFont="1"/>
    <xf numFmtId="10" fontId="0" fillId="0" borderId="0" xfId="3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172" fontId="13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/>
    </xf>
    <xf numFmtId="0" fontId="21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readingOrder="1"/>
    </xf>
    <xf numFmtId="0" fontId="7" fillId="0" borderId="7" xfId="0" applyFont="1" applyBorder="1" applyAlignment="1">
      <alignment horizontal="left" readingOrder="1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readingOrder="1"/>
    </xf>
    <xf numFmtId="0" fontId="5" fillId="0" borderId="3" xfId="0" applyFont="1" applyBorder="1" applyAlignment="1">
      <alignment horizontal="center" vertical="center" readingOrder="1"/>
    </xf>
    <xf numFmtId="0" fontId="5" fillId="0" borderId="8" xfId="0" applyFont="1" applyBorder="1" applyAlignment="1">
      <alignment horizontal="center" vertical="center" textRotation="45" readingOrder="1"/>
    </xf>
    <xf numFmtId="0" fontId="5" fillId="0" borderId="3" xfId="0" applyFont="1" applyBorder="1" applyAlignment="1">
      <alignment horizontal="center" vertical="center" textRotation="45" readingOrder="1"/>
    </xf>
    <xf numFmtId="0" fontId="8" fillId="0" borderId="3" xfId="0" applyFont="1" applyBorder="1" applyAlignment="1">
      <alignment horizontal="center" vertical="center" textRotation="45" readingOrder="1"/>
    </xf>
    <xf numFmtId="0" fontId="8" fillId="0" borderId="3" xfId="0" applyFont="1" applyBorder="1" applyAlignment="1">
      <alignment horizontal="center" vertical="center" readingOrder="1"/>
    </xf>
    <xf numFmtId="0" fontId="0" fillId="0" borderId="9" xfId="0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9" xfId="0" applyBorder="1" applyAlignment="1">
      <alignment horizontal="center"/>
    </xf>
    <xf numFmtId="170" fontId="7" fillId="0" borderId="10" xfId="0" applyNumberFormat="1" applyFont="1" applyBorder="1" applyAlignment="1">
      <alignment horizontal="left"/>
    </xf>
    <xf numFmtId="170" fontId="6" fillId="0" borderId="11" xfId="0" applyNumberFormat="1" applyFont="1" applyBorder="1" applyAlignment="1">
      <alignment horizontal="left"/>
    </xf>
    <xf numFmtId="170" fontId="6" fillId="0" borderId="12" xfId="0" applyNumberFormat="1" applyFont="1" applyBorder="1" applyAlignment="1">
      <alignment horizontal="left"/>
    </xf>
    <xf numFmtId="170" fontId="6" fillId="0" borderId="13" xfId="0" applyNumberFormat="1" applyFont="1" applyBorder="1" applyAlignment="1">
      <alignment horizontal="left"/>
    </xf>
    <xf numFmtId="170" fontId="6" fillId="0" borderId="7" xfId="0" applyNumberFormat="1" applyFont="1" applyBorder="1" applyAlignment="1">
      <alignment horizontal="left"/>
    </xf>
    <xf numFmtId="170" fontId="6" fillId="0" borderId="14" xfId="0" applyNumberFormat="1" applyFont="1" applyBorder="1" applyAlignment="1">
      <alignment horizontal="left"/>
    </xf>
    <xf numFmtId="0" fontId="5" fillId="0" borderId="15" xfId="0" applyFont="1" applyBorder="1" applyAlignment="1">
      <alignment horizontal="center" vertical="center" textRotation="45"/>
    </xf>
    <xf numFmtId="0" fontId="5" fillId="0" borderId="1" xfId="0" applyFont="1" applyBorder="1" applyAlignment="1">
      <alignment horizontal="center" vertical="center" textRotation="45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textRotation="45"/>
    </xf>
    <xf numFmtId="0" fontId="5" fillId="0" borderId="1" xfId="0" applyFont="1" applyBorder="1" applyAlignment="1">
      <alignment horizontal="center" textRotation="45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8" fillId="5" borderId="0" xfId="0" applyFont="1" applyFill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6" borderId="28" xfId="0" applyFill="1" applyBorder="1" applyAlignment="1">
      <alignment horizontal="left" vertical="center"/>
    </xf>
    <xf numFmtId="0" fontId="0" fillId="6" borderId="25" xfId="0" applyFill="1" applyBorder="1" applyAlignment="1">
      <alignment horizontal="left" vertical="center"/>
    </xf>
    <xf numFmtId="166" fontId="16" fillId="0" borderId="16" xfId="0" applyNumberFormat="1" applyFont="1" applyBorder="1" applyAlignment="1">
      <alignment horizontal="left" vertical="center"/>
    </xf>
    <xf numFmtId="166" fontId="16" fillId="0" borderId="0" xfId="0" applyNumberFormat="1" applyFont="1" applyBorder="1" applyAlignment="1">
      <alignment horizontal="left" vertical="center"/>
    </xf>
    <xf numFmtId="166" fontId="16" fillId="0" borderId="17" xfId="0" applyNumberFormat="1" applyFont="1" applyBorder="1" applyAlignment="1">
      <alignment horizontal="left" vertical="center"/>
    </xf>
    <xf numFmtId="166" fontId="0" fillId="0" borderId="28" xfId="0" applyNumberFormat="1" applyBorder="1" applyAlignment="1">
      <alignment horizontal="center" vertical="center" wrapText="1"/>
    </xf>
    <xf numFmtId="166" fontId="0" fillId="0" borderId="25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8" fontId="0" fillId="0" borderId="28" xfId="0" applyNumberFormat="1" applyBorder="1" applyAlignment="1">
      <alignment horizontal="right" vertical="center"/>
    </xf>
    <xf numFmtId="178" fontId="0" fillId="0" borderId="25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2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20" fillId="0" borderId="22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8" borderId="33" xfId="0" applyFill="1" applyBorder="1" applyAlignment="1">
      <alignment horizontal="center"/>
    </xf>
    <xf numFmtId="0" fontId="0" fillId="8" borderId="34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9" xfId="0" applyBorder="1" applyAlignment="1">
      <alignment horizontal="left"/>
    </xf>
    <xf numFmtId="0" fontId="34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3" fillId="0" borderId="20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7" fillId="0" borderId="21" xfId="0" applyFont="1" applyBorder="1" applyAlignment="1">
      <alignment horizontal="center" vertical="top"/>
    </xf>
    <xf numFmtId="0" fontId="37" fillId="0" borderId="22" xfId="0" applyFont="1" applyBorder="1" applyAlignment="1">
      <alignment horizontal="center" vertical="top"/>
    </xf>
    <xf numFmtId="0" fontId="37" fillId="0" borderId="23" xfId="0" applyFont="1" applyBorder="1" applyAlignment="1">
      <alignment horizontal="center" vertical="top"/>
    </xf>
    <xf numFmtId="0" fontId="37" fillId="0" borderId="16" xfId="0" applyFont="1" applyBorder="1" applyAlignment="1">
      <alignment horizontal="center" vertical="top"/>
    </xf>
    <xf numFmtId="0" fontId="37" fillId="0" borderId="0" xfId="0" applyFont="1" applyBorder="1" applyAlignment="1">
      <alignment horizontal="center" vertical="top"/>
    </xf>
    <xf numFmtId="0" fontId="37" fillId="0" borderId="17" xfId="0" applyFont="1" applyBorder="1" applyAlignment="1">
      <alignment horizontal="center" vertical="top"/>
    </xf>
    <xf numFmtId="0" fontId="37" fillId="0" borderId="18" xfId="0" applyFont="1" applyBorder="1" applyAlignment="1">
      <alignment horizontal="center" vertical="top"/>
    </xf>
    <xf numFmtId="0" fontId="37" fillId="0" borderId="2" xfId="0" applyFont="1" applyBorder="1" applyAlignment="1">
      <alignment horizontal="center" vertical="top"/>
    </xf>
    <xf numFmtId="0" fontId="37" fillId="0" borderId="19" xfId="0" applyFont="1" applyBorder="1" applyAlignment="1">
      <alignment horizontal="center" vertical="top"/>
    </xf>
    <xf numFmtId="0" fontId="38" fillId="0" borderId="0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190" fontId="0" fillId="0" borderId="28" xfId="0" applyNumberFormat="1" applyBorder="1" applyAlignment="1">
      <alignment horizontal="center"/>
    </xf>
    <xf numFmtId="190" fontId="0" fillId="0" borderId="29" xfId="0" applyNumberFormat="1" applyBorder="1" applyAlignment="1">
      <alignment horizontal="center"/>
    </xf>
    <xf numFmtId="190" fontId="0" fillId="0" borderId="25" xfId="0" applyNumberFormat="1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12" borderId="28" xfId="0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0" fontId="0" fillId="12" borderId="29" xfId="0" applyFill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center" vertical="center" textRotation="45"/>
    </xf>
    <xf numFmtId="0" fontId="0" fillId="0" borderId="3" xfId="0" applyBorder="1" applyAlignment="1">
      <alignment horizontal="center" vertical="center" textRotation="45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Income</a:t>
            </a:r>
            <a:r>
              <a:rPr lang="en-US" baseline="0"/>
              <a:t> Statement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'Lesson 17'!$B$13</c:f>
              <c:strCache>
                <c:ptCount val="1"/>
                <c:pt idx="0">
                  <c:v>Total in Come</c:v>
                </c:pt>
              </c:strCache>
            </c:strRef>
          </c:tx>
          <c:invertIfNegative val="0"/>
          <c:cat>
            <c:strRef>
              <c:f>'Lesson 17'!$C$7:$F$7</c:f>
              <c:strCache>
                <c:ptCount val="4"/>
                <c:pt idx="0">
                  <c:v>1st Month</c:v>
                </c:pt>
                <c:pt idx="1">
                  <c:v>2nd Month</c:v>
                </c:pt>
                <c:pt idx="2">
                  <c:v>3rd Month</c:v>
                </c:pt>
                <c:pt idx="3">
                  <c:v>4th Month</c:v>
                </c:pt>
              </c:strCache>
            </c:strRef>
          </c:cat>
          <c:val>
            <c:numRef>
              <c:f>'Lesson 17'!$C$13:$F$13</c:f>
              <c:numCache>
                <c:formatCode>_("$"* #,##0_);_("$"* \(#,##0\);_("$"* "-"_);_(@_)</c:formatCode>
                <c:ptCount val="4"/>
                <c:pt idx="0">
                  <c:v>5370</c:v>
                </c:pt>
                <c:pt idx="1">
                  <c:v>5890</c:v>
                </c:pt>
                <c:pt idx="2">
                  <c:v>4815</c:v>
                </c:pt>
                <c:pt idx="3">
                  <c:v>5390</c:v>
                </c:pt>
              </c:numCache>
            </c:numRef>
          </c:val>
        </c:ser>
        <c:ser>
          <c:idx val="1"/>
          <c:order val="1"/>
          <c:tx>
            <c:strRef>
              <c:f>'Lesson 17'!$B$22</c:f>
              <c:strCache>
                <c:ptCount val="1"/>
                <c:pt idx="0">
                  <c:v>Total Expence</c:v>
                </c:pt>
              </c:strCache>
            </c:strRef>
          </c:tx>
          <c:invertIfNegative val="0"/>
          <c:cat>
            <c:strRef>
              <c:f>'Lesson 17'!$C$7:$F$7</c:f>
              <c:strCache>
                <c:ptCount val="4"/>
                <c:pt idx="0">
                  <c:v>1st Month</c:v>
                </c:pt>
                <c:pt idx="1">
                  <c:v>2nd Month</c:v>
                </c:pt>
                <c:pt idx="2">
                  <c:v>3rd Month</c:v>
                </c:pt>
                <c:pt idx="3">
                  <c:v>4th Month</c:v>
                </c:pt>
              </c:strCache>
            </c:strRef>
          </c:cat>
          <c:val>
            <c:numRef>
              <c:f>'Lesson 17'!$C$22:$F$22</c:f>
              <c:numCache>
                <c:formatCode>_("$"* #,##0_);_("$"* \(#,##0\);_("$"* "-"_);_(@_)</c:formatCode>
                <c:ptCount val="4"/>
                <c:pt idx="0">
                  <c:v>4120</c:v>
                </c:pt>
                <c:pt idx="1">
                  <c:v>4250</c:v>
                </c:pt>
                <c:pt idx="2">
                  <c:v>4090</c:v>
                </c:pt>
                <c:pt idx="3">
                  <c:v>4125</c:v>
                </c:pt>
              </c:numCache>
            </c:numRef>
          </c:val>
        </c:ser>
        <c:ser>
          <c:idx val="2"/>
          <c:order val="2"/>
          <c:tx>
            <c:strRef>
              <c:f>'Lesson 17'!$B$24</c:f>
              <c:strCache>
                <c:ptCount val="1"/>
                <c:pt idx="0">
                  <c:v>Net Icome</c:v>
                </c:pt>
              </c:strCache>
            </c:strRef>
          </c:tx>
          <c:invertIfNegative val="0"/>
          <c:cat>
            <c:strRef>
              <c:f>'Lesson 17'!$C$7:$F$7</c:f>
              <c:strCache>
                <c:ptCount val="4"/>
                <c:pt idx="0">
                  <c:v>1st Month</c:v>
                </c:pt>
                <c:pt idx="1">
                  <c:v>2nd Month</c:v>
                </c:pt>
                <c:pt idx="2">
                  <c:v>3rd Month</c:v>
                </c:pt>
                <c:pt idx="3">
                  <c:v>4th Month</c:v>
                </c:pt>
              </c:strCache>
            </c:strRef>
          </c:cat>
          <c:val>
            <c:numRef>
              <c:f>'Lesson 17'!$C$24:$F$24</c:f>
              <c:numCache>
                <c:formatCode>_("$"* #,##0_);_("$"* \(#,##0\);_("$"* "-"_);_(@_)</c:formatCode>
                <c:ptCount val="4"/>
                <c:pt idx="0">
                  <c:v>1250</c:v>
                </c:pt>
                <c:pt idx="1">
                  <c:v>1640</c:v>
                </c:pt>
                <c:pt idx="2">
                  <c:v>725</c:v>
                </c:pt>
                <c:pt idx="3">
                  <c:v>1265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345472"/>
        <c:axId val="94355456"/>
        <c:axId val="0"/>
      </c:bar3DChart>
      <c:catAx>
        <c:axId val="94345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94355456"/>
        <c:crosses val="autoZero"/>
        <c:auto val="1"/>
        <c:lblAlgn val="ctr"/>
        <c:lblOffset val="100"/>
        <c:noMultiLvlLbl val="0"/>
      </c:catAx>
      <c:valAx>
        <c:axId val="94355456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_);_(@_)" sourceLinked="1"/>
        <c:majorTickMark val="none"/>
        <c:minorTickMark val="none"/>
        <c:tickLblPos val="nextTo"/>
        <c:crossAx val="94345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[1]Sheet2!$A$2</c:f>
              <c:strCache>
                <c:ptCount val="1"/>
                <c:pt idx="0">
                  <c:v>Phnom Penh</c:v>
                </c:pt>
              </c:strCache>
            </c:strRef>
          </c:tx>
          <c:spPr>
            <a:ln w="28575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dk1">
                  <a:tint val="88500"/>
                </a:schemeClr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1996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1997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1998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1999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2000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2001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2002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2003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2004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[1]Sheet2!$B$1:$J$1</c:f>
              <c:numCache>
                <c:formatCode>General</c:formatCod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[1]Sheet2!$B$2:$J$2</c:f>
              <c:numCache>
                <c:formatCode>General</c:formatCode>
                <c:ptCount val="9"/>
                <c:pt idx="0">
                  <c:v>100000</c:v>
                </c:pt>
                <c:pt idx="1">
                  <c:v>50000</c:v>
                </c:pt>
                <c:pt idx="2">
                  <c:v>120000</c:v>
                </c:pt>
                <c:pt idx="3">
                  <c:v>40000</c:v>
                </c:pt>
                <c:pt idx="4">
                  <c:v>40000</c:v>
                </c:pt>
                <c:pt idx="5">
                  <c:v>150000</c:v>
                </c:pt>
                <c:pt idx="6">
                  <c:v>120000</c:v>
                </c:pt>
                <c:pt idx="7">
                  <c:v>150000</c:v>
                </c:pt>
                <c:pt idx="8">
                  <c:v>23600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448448"/>
        <c:axId val="95484160"/>
      </c:lineChart>
      <c:catAx>
        <c:axId val="9544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484160"/>
        <c:crosses val="autoZero"/>
        <c:auto val="1"/>
        <c:lblAlgn val="ctr"/>
        <c:lblOffset val="100"/>
        <c:noMultiLvlLbl val="0"/>
      </c:catAx>
      <c:valAx>
        <c:axId val="9548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448448"/>
        <c:crosses val="autoZero"/>
        <c:crossBetween val="between"/>
      </c:valAx>
      <c:spPr>
        <a:solidFill>
          <a:schemeClr val="lt1"/>
        </a:solidFill>
        <a:ln w="19050" cap="flat" cmpd="sng" algn="ctr">
          <a:solidFill>
            <a:schemeClr val="dk1"/>
          </a:solidFill>
          <a:prstDash val="solid"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25" r="0.25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 come in Phnom Penh</a:t>
            </a:r>
          </a:p>
        </c:rich>
      </c:tx>
      <c:layout>
        <c:manualLayout>
          <c:xMode val="edge"/>
          <c:yMode val="edge"/>
          <c:x val="0.1476750700280112"/>
          <c:y val="2.0516100457501161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3507726868725"/>
          <c:y val="0.20279844329803604"/>
          <c:w val="0.75175103112110986"/>
          <c:h val="0.68758559452944268"/>
        </c:manualLayout>
      </c:layout>
      <c:pie3DChart>
        <c:varyColors val="1"/>
        <c:ser>
          <c:idx val="0"/>
          <c:order val="0"/>
          <c:tx>
            <c:strRef>
              <c:f>[1]Sheet2!$A$2</c:f>
              <c:strCache>
                <c:ptCount val="1"/>
                <c:pt idx="0">
                  <c:v>Phnom Penh</c:v>
                </c:pt>
              </c:strCache>
            </c:strRef>
          </c:tx>
          <c:explosion val="1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[1]Sheet2!$B$1:$J$1</c:f>
              <c:numCache>
                <c:formatCode>General</c:formatCod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[1]Sheet2!$B$2:$J$2</c:f>
              <c:numCache>
                <c:formatCode>General</c:formatCode>
                <c:ptCount val="9"/>
                <c:pt idx="0">
                  <c:v>100000</c:v>
                </c:pt>
                <c:pt idx="1">
                  <c:v>50000</c:v>
                </c:pt>
                <c:pt idx="2">
                  <c:v>120000</c:v>
                </c:pt>
                <c:pt idx="3">
                  <c:v>40000</c:v>
                </c:pt>
                <c:pt idx="4">
                  <c:v>40000</c:v>
                </c:pt>
                <c:pt idx="5">
                  <c:v>150000</c:v>
                </c:pt>
                <c:pt idx="6">
                  <c:v>120000</c:v>
                </c:pt>
                <c:pt idx="7">
                  <c:v>150000</c:v>
                </c:pt>
                <c:pt idx="8">
                  <c:v>23600</c:v>
                </c:pt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635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In Come</a:t>
            </a:r>
            <a:r>
              <a:rPr lang="en-US" b="1" baseline="0"/>
              <a:t> in Phnom Penh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[1]Sheet2!$A$2</c:f>
              <c:strCache>
                <c:ptCount val="1"/>
                <c:pt idx="0">
                  <c:v>Phnom Penh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[1]Sheet2!$B$1:$J$1</c:f>
              <c:numCache>
                <c:formatCode>General</c:formatCod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[1]Sheet2!$B$2:$J$2</c:f>
              <c:numCache>
                <c:formatCode>General</c:formatCode>
                <c:ptCount val="9"/>
                <c:pt idx="0">
                  <c:v>100000</c:v>
                </c:pt>
                <c:pt idx="1">
                  <c:v>50000</c:v>
                </c:pt>
                <c:pt idx="2">
                  <c:v>120000</c:v>
                </c:pt>
                <c:pt idx="3">
                  <c:v>40000</c:v>
                </c:pt>
                <c:pt idx="4">
                  <c:v>40000</c:v>
                </c:pt>
                <c:pt idx="5">
                  <c:v>150000</c:v>
                </c:pt>
                <c:pt idx="6">
                  <c:v>120000</c:v>
                </c:pt>
                <c:pt idx="7">
                  <c:v>150000</c:v>
                </c:pt>
                <c:pt idx="8">
                  <c:v>23600</c:v>
                </c:pt>
              </c:numCache>
            </c:numRef>
          </c:val>
        </c:ser>
        <c:ser>
          <c:idx val="1"/>
          <c:order val="1"/>
          <c:tx>
            <c:strRef>
              <c:f>[1]Sheet2!$A$3</c:f>
              <c:strCache>
                <c:ptCount val="1"/>
                <c:pt idx="0">
                  <c:v>Kompong Cham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[1]Sheet2!$B$1:$J$1</c:f>
              <c:numCache>
                <c:formatCode>General</c:formatCod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[1]Sheet2!$B$3:$J$3</c:f>
              <c:numCache>
                <c:formatCode>General</c:formatCode>
                <c:ptCount val="9"/>
                <c:pt idx="0">
                  <c:v>54000</c:v>
                </c:pt>
                <c:pt idx="1">
                  <c:v>23500</c:v>
                </c:pt>
                <c:pt idx="2">
                  <c:v>12400</c:v>
                </c:pt>
                <c:pt idx="3">
                  <c:v>12587</c:v>
                </c:pt>
                <c:pt idx="4">
                  <c:v>12500</c:v>
                </c:pt>
                <c:pt idx="5">
                  <c:v>124580</c:v>
                </c:pt>
                <c:pt idx="6">
                  <c:v>125000</c:v>
                </c:pt>
                <c:pt idx="7">
                  <c:v>45000</c:v>
                </c:pt>
                <c:pt idx="8">
                  <c:v>250000</c:v>
                </c:pt>
              </c:numCache>
            </c:numRef>
          </c:val>
        </c:ser>
        <c:ser>
          <c:idx val="2"/>
          <c:order val="2"/>
          <c:tx>
            <c:strRef>
              <c:f>[1]Sheet2!$A$4</c:f>
              <c:strCache>
                <c:ptCount val="1"/>
                <c:pt idx="0">
                  <c:v>kompong Thom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[1]Sheet2!$B$1:$J$1</c:f>
              <c:numCache>
                <c:formatCode>General</c:formatCod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[1]Sheet2!$B$4:$J$4</c:f>
              <c:numCache>
                <c:formatCode>General</c:formatCode>
                <c:ptCount val="9"/>
                <c:pt idx="0">
                  <c:v>65000</c:v>
                </c:pt>
                <c:pt idx="1">
                  <c:v>250000</c:v>
                </c:pt>
                <c:pt idx="2">
                  <c:v>20000</c:v>
                </c:pt>
                <c:pt idx="3">
                  <c:v>15000</c:v>
                </c:pt>
                <c:pt idx="4">
                  <c:v>14000</c:v>
                </c:pt>
                <c:pt idx="5">
                  <c:v>125400</c:v>
                </c:pt>
                <c:pt idx="6">
                  <c:v>12000</c:v>
                </c:pt>
                <c:pt idx="7">
                  <c:v>125000</c:v>
                </c:pt>
                <c:pt idx="8">
                  <c:v>124000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8224384"/>
        <c:axId val="98230272"/>
        <c:axId val="0"/>
      </c:bar3DChart>
      <c:catAx>
        <c:axId val="9822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230272"/>
        <c:crosses val="autoZero"/>
        <c:auto val="1"/>
        <c:lblAlgn val="ctr"/>
        <c:lblOffset val="100"/>
        <c:noMultiLvlLbl val="0"/>
      </c:catAx>
      <c:valAx>
        <c:axId val="9823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22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0566896325459323"/>
          <c:w val="0.96957103018372703"/>
          <c:h val="9.43310367454068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714375</xdr:colOff>
      <xdr:row>16</xdr:row>
      <xdr:rowOff>152400</xdr:rowOff>
    </xdr:from>
    <xdr:ext cx="184731" cy="264560"/>
    <xdr:sp macro="" textlink="">
      <xdr:nvSpPr>
        <xdr:cNvPr id="2" name="TextBox 1"/>
        <xdr:cNvSpPr txBox="1"/>
      </xdr:nvSpPr>
      <xdr:spPr>
        <a:xfrm>
          <a:off x="58388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152399</xdr:colOff>
      <xdr:row>24</xdr:row>
      <xdr:rowOff>66675</xdr:rowOff>
    </xdr:from>
    <xdr:to>
      <xdr:col>14</xdr:col>
      <xdr:colOff>123825</xdr:colOff>
      <xdr:row>25</xdr:row>
      <xdr:rowOff>95250</xdr:rowOff>
    </xdr:to>
    <xdr:sp macro="" textlink="">
      <xdr:nvSpPr>
        <xdr:cNvPr id="2" name="Rectangle 1"/>
        <xdr:cNvSpPr/>
      </xdr:nvSpPr>
      <xdr:spPr>
        <a:xfrm>
          <a:off x="7343774" y="5019675"/>
          <a:ext cx="1800226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=COUNTIF(M6:M21,"Pass")</a:t>
          </a:r>
        </a:p>
      </xdr:txBody>
    </xdr:sp>
    <xdr:clientData/>
  </xdr:twoCellAnchor>
  <xdr:twoCellAnchor>
    <xdr:from>
      <xdr:col>8</xdr:col>
      <xdr:colOff>581025</xdr:colOff>
      <xdr:row>2</xdr:row>
      <xdr:rowOff>47625</xdr:rowOff>
    </xdr:from>
    <xdr:to>
      <xdr:col>11</xdr:col>
      <xdr:colOff>428625</xdr:colOff>
      <xdr:row>3</xdr:row>
      <xdr:rowOff>38100</xdr:rowOff>
    </xdr:to>
    <xdr:sp macro="" textlink="">
      <xdr:nvSpPr>
        <xdr:cNvPr id="3" name="Rectangle 2"/>
        <xdr:cNvSpPr/>
      </xdr:nvSpPr>
      <xdr:spPr>
        <a:xfrm>
          <a:off x="5943600" y="428625"/>
          <a:ext cx="1676400" cy="1809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=IF(L6&gt;=35,"Pass","Fail")</a:t>
          </a:r>
        </a:p>
      </xdr:txBody>
    </xdr:sp>
    <xdr:clientData/>
  </xdr:twoCellAnchor>
  <xdr:twoCellAnchor>
    <xdr:from>
      <xdr:col>11</xdr:col>
      <xdr:colOff>571500</xdr:colOff>
      <xdr:row>2</xdr:row>
      <xdr:rowOff>76199</xdr:rowOff>
    </xdr:from>
    <xdr:to>
      <xdr:col>14</xdr:col>
      <xdr:colOff>323850</xdr:colOff>
      <xdr:row>3</xdr:row>
      <xdr:rowOff>66674</xdr:rowOff>
    </xdr:to>
    <xdr:sp macro="" textlink="">
      <xdr:nvSpPr>
        <xdr:cNvPr id="4" name="Rectangle 3"/>
        <xdr:cNvSpPr/>
      </xdr:nvSpPr>
      <xdr:spPr>
        <a:xfrm>
          <a:off x="7762875" y="457199"/>
          <a:ext cx="1581150" cy="1809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=RANK(L6,$L$6:$L$21)</a:t>
          </a:r>
        </a:p>
      </xdr:txBody>
    </xdr:sp>
    <xdr:clientData/>
  </xdr:twoCellAnchor>
  <xdr:twoCellAnchor>
    <xdr:from>
      <xdr:col>12</xdr:col>
      <xdr:colOff>19049</xdr:colOff>
      <xdr:row>25</xdr:row>
      <xdr:rowOff>180974</xdr:rowOff>
    </xdr:from>
    <xdr:to>
      <xdr:col>15</xdr:col>
      <xdr:colOff>19050</xdr:colOff>
      <xdr:row>26</xdr:row>
      <xdr:rowOff>133349</xdr:rowOff>
    </xdr:to>
    <xdr:sp macro="" textlink="">
      <xdr:nvSpPr>
        <xdr:cNvPr id="5" name="Rectangle 4"/>
        <xdr:cNvSpPr/>
      </xdr:nvSpPr>
      <xdr:spPr>
        <a:xfrm>
          <a:off x="7820024" y="5324474"/>
          <a:ext cx="1828801" cy="1809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=COUNTIF(M6:M21,"Fail")</a:t>
          </a:r>
        </a:p>
      </xdr:txBody>
    </xdr:sp>
    <xdr:clientData/>
  </xdr:twoCellAnchor>
  <xdr:twoCellAnchor>
    <xdr:from>
      <xdr:col>13</xdr:col>
      <xdr:colOff>200025</xdr:colOff>
      <xdr:row>23</xdr:row>
      <xdr:rowOff>0</xdr:rowOff>
    </xdr:from>
    <xdr:to>
      <xdr:col>13</xdr:col>
      <xdr:colOff>219076</xdr:colOff>
      <xdr:row>24</xdr:row>
      <xdr:rowOff>66676</xdr:rowOff>
    </xdr:to>
    <xdr:cxnSp macro="">
      <xdr:nvCxnSpPr>
        <xdr:cNvPr id="7" name="Straight Arrow Connector 6"/>
        <xdr:cNvCxnSpPr/>
      </xdr:nvCxnSpPr>
      <xdr:spPr>
        <a:xfrm flipH="1" flipV="1">
          <a:off x="8610600" y="4762500"/>
          <a:ext cx="19051" cy="257176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390525</xdr:colOff>
      <xdr:row>23</xdr:row>
      <xdr:rowOff>66675</xdr:rowOff>
    </xdr:from>
    <xdr:to>
      <xdr:col>14</xdr:col>
      <xdr:colOff>390526</xdr:colOff>
      <xdr:row>25</xdr:row>
      <xdr:rowOff>161926</xdr:rowOff>
    </xdr:to>
    <xdr:cxnSp macro="">
      <xdr:nvCxnSpPr>
        <xdr:cNvPr id="12" name="Straight Arrow Connector 11"/>
        <xdr:cNvCxnSpPr/>
      </xdr:nvCxnSpPr>
      <xdr:spPr>
        <a:xfrm flipH="1" flipV="1">
          <a:off x="9410700" y="4829175"/>
          <a:ext cx="1" cy="47625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</xdr:colOff>
      <xdr:row>3</xdr:row>
      <xdr:rowOff>47625</xdr:rowOff>
    </xdr:from>
    <xdr:to>
      <xdr:col>12</xdr:col>
      <xdr:colOff>142875</xdr:colOff>
      <xdr:row>5</xdr:row>
      <xdr:rowOff>47625</xdr:rowOff>
    </xdr:to>
    <xdr:cxnSp macro="">
      <xdr:nvCxnSpPr>
        <xdr:cNvPr id="17" name="Straight Arrow Connector 16"/>
        <xdr:cNvCxnSpPr/>
      </xdr:nvCxnSpPr>
      <xdr:spPr>
        <a:xfrm>
          <a:off x="7191376" y="619125"/>
          <a:ext cx="752474" cy="7620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438150</xdr:colOff>
      <xdr:row>3</xdr:row>
      <xdr:rowOff>57150</xdr:rowOff>
    </xdr:from>
    <xdr:to>
      <xdr:col>14</xdr:col>
      <xdr:colOff>400050</xdr:colOff>
      <xdr:row>5</xdr:row>
      <xdr:rowOff>47625</xdr:rowOff>
    </xdr:to>
    <xdr:cxnSp macro="">
      <xdr:nvCxnSpPr>
        <xdr:cNvPr id="24" name="Straight Arrow Connector 23"/>
        <xdr:cNvCxnSpPr/>
      </xdr:nvCxnSpPr>
      <xdr:spPr>
        <a:xfrm>
          <a:off x="8848725" y="628650"/>
          <a:ext cx="571500" cy="7524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21</xdr:row>
      <xdr:rowOff>28575</xdr:rowOff>
    </xdr:from>
    <xdr:to>
      <xdr:col>13</xdr:col>
      <xdr:colOff>28575</xdr:colOff>
      <xdr:row>22</xdr:row>
      <xdr:rowOff>0</xdr:rowOff>
    </xdr:to>
    <xdr:sp macro="" textlink="">
      <xdr:nvSpPr>
        <xdr:cNvPr id="28" name="Rectangle 27"/>
        <xdr:cNvSpPr/>
      </xdr:nvSpPr>
      <xdr:spPr>
        <a:xfrm>
          <a:off x="3457575" y="4410075"/>
          <a:ext cx="4981575" cy="161925"/>
        </a:xfrm>
        <a:prstGeom prst="rect">
          <a:avLst/>
        </a:prstGeom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00"/>
            <a:t>=IF(L6&lt;35,"Weak",IF(L6&lt;50,</a:t>
          </a:r>
          <a:r>
            <a:rPr lang="en-US" sz="1000" baseline="0"/>
            <a:t>"Medium",IF(L6&lt;60,"Good",IF(L6&lt;67,"Very Godd","Excellent"))))</a:t>
          </a:r>
          <a:endParaRPr lang="en-US" sz="1000"/>
        </a:p>
      </xdr:txBody>
    </xdr:sp>
    <xdr:clientData/>
  </xdr:twoCellAnchor>
  <xdr:twoCellAnchor>
    <xdr:from>
      <xdr:col>13</xdr:col>
      <xdr:colOff>180975</xdr:colOff>
      <xdr:row>20</xdr:row>
      <xdr:rowOff>152400</xdr:rowOff>
    </xdr:from>
    <xdr:to>
      <xdr:col>13</xdr:col>
      <xdr:colOff>180975</xdr:colOff>
      <xdr:row>21</xdr:row>
      <xdr:rowOff>104775</xdr:rowOff>
    </xdr:to>
    <xdr:cxnSp macro="">
      <xdr:nvCxnSpPr>
        <xdr:cNvPr id="30" name="Straight Arrow Connector 29"/>
        <xdr:cNvCxnSpPr/>
      </xdr:nvCxnSpPr>
      <xdr:spPr>
        <a:xfrm flipV="1">
          <a:off x="8591550" y="4343400"/>
          <a:ext cx="0" cy="1428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66675</xdr:colOff>
      <xdr:row>21</xdr:row>
      <xdr:rowOff>100013</xdr:rowOff>
    </xdr:from>
    <xdr:to>
      <xdr:col>13</xdr:col>
      <xdr:colOff>209550</xdr:colOff>
      <xdr:row>21</xdr:row>
      <xdr:rowOff>104775</xdr:rowOff>
    </xdr:to>
    <xdr:cxnSp macro="">
      <xdr:nvCxnSpPr>
        <xdr:cNvPr id="32" name="Straight Connector 31"/>
        <xdr:cNvCxnSpPr/>
      </xdr:nvCxnSpPr>
      <xdr:spPr>
        <a:xfrm>
          <a:off x="8477250" y="4481513"/>
          <a:ext cx="142875" cy="476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1131703</xdr:colOff>
      <xdr:row>29</xdr:row>
      <xdr:rowOff>142875</xdr:rowOff>
    </xdr:from>
    <xdr:to>
      <xdr:col>6</xdr:col>
      <xdr:colOff>9525</xdr:colOff>
      <xdr:row>30</xdr:row>
      <xdr:rowOff>141103</xdr:rowOff>
    </xdr:to>
    <xdr:sp macro="" textlink="">
      <xdr:nvSpPr>
        <xdr:cNvPr id="2" name="Rectangle 1"/>
        <xdr:cNvSpPr/>
      </xdr:nvSpPr>
      <xdr:spPr>
        <a:xfrm>
          <a:off x="3331978" y="5667375"/>
          <a:ext cx="2335397" cy="1887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=SUMIF(D5:D29,"&lt;4/17/175",G5:</a:t>
          </a:r>
          <a:r>
            <a:rPr lang="en-US" sz="1100" baseline="0"/>
            <a:t> G9)</a:t>
          </a:r>
          <a:endParaRPr lang="en-US" sz="1100"/>
        </a:p>
      </xdr:txBody>
    </xdr:sp>
    <xdr:clientData/>
  </xdr:twoCellAnchor>
  <xdr:twoCellAnchor>
    <xdr:from>
      <xdr:col>3</xdr:col>
      <xdr:colOff>284421</xdr:colOff>
      <xdr:row>30</xdr:row>
      <xdr:rowOff>180975</xdr:rowOff>
    </xdr:from>
    <xdr:to>
      <xdr:col>4</xdr:col>
      <xdr:colOff>304800</xdr:colOff>
      <xdr:row>32</xdr:row>
      <xdr:rowOff>19051</xdr:rowOff>
    </xdr:to>
    <xdr:sp macro="" textlink="">
      <xdr:nvSpPr>
        <xdr:cNvPr id="3" name="Rectangle 2"/>
        <xdr:cNvSpPr/>
      </xdr:nvSpPr>
      <xdr:spPr>
        <a:xfrm>
          <a:off x="2484696" y="5895975"/>
          <a:ext cx="1391979" cy="2190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=countif(C5:C9,C6</a:t>
          </a:r>
        </a:p>
      </xdr:txBody>
    </xdr:sp>
    <xdr:clientData/>
  </xdr:twoCellAnchor>
  <xdr:twoCellAnchor>
    <xdr:from>
      <xdr:col>5</xdr:col>
      <xdr:colOff>237239</xdr:colOff>
      <xdr:row>30</xdr:row>
      <xdr:rowOff>171450</xdr:rowOff>
    </xdr:from>
    <xdr:to>
      <xdr:col>6</xdr:col>
      <xdr:colOff>1171575</xdr:colOff>
      <xdr:row>31</xdr:row>
      <xdr:rowOff>171893</xdr:rowOff>
    </xdr:to>
    <xdr:sp macro="" textlink="">
      <xdr:nvSpPr>
        <xdr:cNvPr id="4" name="Rectangle 3"/>
        <xdr:cNvSpPr/>
      </xdr:nvSpPr>
      <xdr:spPr>
        <a:xfrm>
          <a:off x="5142614" y="5886450"/>
          <a:ext cx="1686811" cy="19094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=sumif(C5:C29,C6,G5)</a:t>
          </a:r>
        </a:p>
      </xdr:txBody>
    </xdr:sp>
    <xdr:clientData/>
  </xdr:twoCellAnchor>
  <xdr:twoCellAnchor>
    <xdr:from>
      <xdr:col>1</xdr:col>
      <xdr:colOff>121832</xdr:colOff>
      <xdr:row>30</xdr:row>
      <xdr:rowOff>44302</xdr:rowOff>
    </xdr:from>
    <xdr:to>
      <xdr:col>3</xdr:col>
      <xdr:colOff>719912</xdr:colOff>
      <xdr:row>31</xdr:row>
      <xdr:rowOff>33226</xdr:rowOff>
    </xdr:to>
    <xdr:sp macro="" textlink="">
      <xdr:nvSpPr>
        <xdr:cNvPr id="5" name="Rectangle 4"/>
        <xdr:cNvSpPr/>
      </xdr:nvSpPr>
      <xdr:spPr>
        <a:xfrm>
          <a:off x="455207" y="5759302"/>
          <a:ext cx="2464980" cy="17942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=COUNTIF( D5:D29,"&lt;4/17/1975</a:t>
          </a:r>
        </a:p>
      </xdr:txBody>
    </xdr:sp>
    <xdr:clientData/>
  </xdr:twoCellAnchor>
  <xdr:twoCellAnchor>
    <xdr:from>
      <xdr:col>1</xdr:col>
      <xdr:colOff>1450902</xdr:colOff>
      <xdr:row>30</xdr:row>
      <xdr:rowOff>276889</xdr:rowOff>
    </xdr:from>
    <xdr:to>
      <xdr:col>2</xdr:col>
      <xdr:colOff>77529</xdr:colOff>
      <xdr:row>36</xdr:row>
      <xdr:rowOff>166133</xdr:rowOff>
    </xdr:to>
    <xdr:cxnSp macro="">
      <xdr:nvCxnSpPr>
        <xdr:cNvPr id="6" name="Straight Arrow Connector 5"/>
        <xdr:cNvCxnSpPr/>
      </xdr:nvCxnSpPr>
      <xdr:spPr>
        <a:xfrm flipH="1">
          <a:off x="1784277" y="5906164"/>
          <a:ext cx="83952" cy="111796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66454</xdr:colOff>
      <xdr:row>32</xdr:row>
      <xdr:rowOff>155058</xdr:rowOff>
    </xdr:from>
    <xdr:to>
      <xdr:col>2</xdr:col>
      <xdr:colOff>110756</xdr:colOff>
      <xdr:row>32</xdr:row>
      <xdr:rowOff>177210</xdr:rowOff>
    </xdr:to>
    <xdr:cxnSp macro="">
      <xdr:nvCxnSpPr>
        <xdr:cNvPr id="7" name="Straight Arrow Connector 6"/>
        <xdr:cNvCxnSpPr/>
      </xdr:nvCxnSpPr>
      <xdr:spPr>
        <a:xfrm flipH="1" flipV="1">
          <a:off x="1857154" y="6251058"/>
          <a:ext cx="44302" cy="2215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1174011</xdr:colOff>
      <xdr:row>31</xdr:row>
      <xdr:rowOff>189171</xdr:rowOff>
    </xdr:from>
    <xdr:to>
      <xdr:col>3</xdr:col>
      <xdr:colOff>1181100</xdr:colOff>
      <xdr:row>33</xdr:row>
      <xdr:rowOff>142875</xdr:rowOff>
    </xdr:to>
    <xdr:cxnSp macro="">
      <xdr:nvCxnSpPr>
        <xdr:cNvPr id="8" name="Straight Arrow Connector 7"/>
        <xdr:cNvCxnSpPr/>
      </xdr:nvCxnSpPr>
      <xdr:spPr>
        <a:xfrm>
          <a:off x="3374286" y="6094671"/>
          <a:ext cx="7089" cy="33470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1218093</xdr:colOff>
      <xdr:row>30</xdr:row>
      <xdr:rowOff>156830</xdr:rowOff>
    </xdr:from>
    <xdr:to>
      <xdr:col>4</xdr:col>
      <xdr:colOff>1238250</xdr:colOff>
      <xdr:row>36</xdr:row>
      <xdr:rowOff>171450</xdr:rowOff>
    </xdr:to>
    <xdr:cxnSp macro="">
      <xdr:nvCxnSpPr>
        <xdr:cNvPr id="9" name="Straight Arrow Connector 8"/>
        <xdr:cNvCxnSpPr/>
      </xdr:nvCxnSpPr>
      <xdr:spPr>
        <a:xfrm>
          <a:off x="4789968" y="5871830"/>
          <a:ext cx="20157" cy="115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675611</xdr:colOff>
      <xdr:row>31</xdr:row>
      <xdr:rowOff>431947</xdr:rowOff>
    </xdr:from>
    <xdr:to>
      <xdr:col>6</xdr:col>
      <xdr:colOff>742064</xdr:colOff>
      <xdr:row>33</xdr:row>
      <xdr:rowOff>110756</xdr:rowOff>
    </xdr:to>
    <xdr:cxnSp macro="">
      <xdr:nvCxnSpPr>
        <xdr:cNvPr id="10" name="Straight Arrow Connector 9"/>
        <xdr:cNvCxnSpPr/>
      </xdr:nvCxnSpPr>
      <xdr:spPr>
        <a:xfrm flipH="1">
          <a:off x="6333461" y="6099322"/>
          <a:ext cx="66453" cy="29793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5</xdr:row>
      <xdr:rowOff>19050</xdr:rowOff>
    </xdr:from>
    <xdr:to>
      <xdr:col>3</xdr:col>
      <xdr:colOff>1009650</xdr:colOff>
      <xdr:row>6</xdr:row>
      <xdr:rowOff>9525</xdr:rowOff>
    </xdr:to>
    <xdr:sp macro="" textlink="">
      <xdr:nvSpPr>
        <xdr:cNvPr id="2" name="Rectangle 1"/>
        <xdr:cNvSpPr/>
      </xdr:nvSpPr>
      <xdr:spPr>
        <a:xfrm>
          <a:off x="2943225" y="1181100"/>
          <a:ext cx="971550" cy="1809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=sum(E3:E5)</a:t>
          </a:r>
        </a:p>
      </xdr:txBody>
    </xdr:sp>
    <xdr:clientData/>
  </xdr:twoCellAnchor>
  <xdr:twoCellAnchor>
    <xdr:from>
      <xdr:col>3</xdr:col>
      <xdr:colOff>1009650</xdr:colOff>
      <xdr:row>5</xdr:row>
      <xdr:rowOff>109538</xdr:rowOff>
    </xdr:from>
    <xdr:to>
      <xdr:col>4</xdr:col>
      <xdr:colOff>85725</xdr:colOff>
      <xdr:row>5</xdr:row>
      <xdr:rowOff>123825</xdr:rowOff>
    </xdr:to>
    <xdr:cxnSp macro="">
      <xdr:nvCxnSpPr>
        <xdr:cNvPr id="3" name="Straight Arrow Connector 2"/>
        <xdr:cNvCxnSpPr>
          <a:stCxn id="2" idx="3"/>
        </xdr:cNvCxnSpPr>
      </xdr:nvCxnSpPr>
      <xdr:spPr>
        <a:xfrm>
          <a:off x="3914775" y="1271588"/>
          <a:ext cx="514350" cy="1428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8</xdr:row>
      <xdr:rowOff>19050</xdr:rowOff>
    </xdr:from>
    <xdr:to>
      <xdr:col>3</xdr:col>
      <xdr:colOff>1076325</xdr:colOff>
      <xdr:row>9</xdr:row>
      <xdr:rowOff>47625</xdr:rowOff>
    </xdr:to>
    <xdr:sp macro="" textlink="">
      <xdr:nvSpPr>
        <xdr:cNvPr id="4" name="Rectangle 3"/>
        <xdr:cNvSpPr/>
      </xdr:nvSpPr>
      <xdr:spPr>
        <a:xfrm>
          <a:off x="2914650" y="1752600"/>
          <a:ext cx="1066800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=E6-E8</a:t>
          </a:r>
        </a:p>
      </xdr:txBody>
    </xdr:sp>
    <xdr:clientData/>
  </xdr:twoCellAnchor>
  <xdr:twoCellAnchor>
    <xdr:from>
      <xdr:col>3</xdr:col>
      <xdr:colOff>447675</xdr:colOff>
      <xdr:row>15</xdr:row>
      <xdr:rowOff>142875</xdr:rowOff>
    </xdr:from>
    <xdr:to>
      <xdr:col>4</xdr:col>
      <xdr:colOff>19050</xdr:colOff>
      <xdr:row>17</xdr:row>
      <xdr:rowOff>0</xdr:rowOff>
    </xdr:to>
    <xdr:sp macro="" textlink="">
      <xdr:nvSpPr>
        <xdr:cNvPr id="5" name="Rectangle 4"/>
        <xdr:cNvSpPr/>
      </xdr:nvSpPr>
      <xdr:spPr>
        <a:xfrm>
          <a:off x="3352800" y="3209925"/>
          <a:ext cx="1009650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=sum(E12:E16</a:t>
          </a:r>
        </a:p>
      </xdr:txBody>
    </xdr:sp>
    <xdr:clientData/>
  </xdr:twoCellAnchor>
  <xdr:twoCellAnchor>
    <xdr:from>
      <xdr:col>2</xdr:col>
      <xdr:colOff>695325</xdr:colOff>
      <xdr:row>17</xdr:row>
      <xdr:rowOff>180975</xdr:rowOff>
    </xdr:from>
    <xdr:to>
      <xdr:col>3</xdr:col>
      <xdr:colOff>809625</xdr:colOff>
      <xdr:row>18</xdr:row>
      <xdr:rowOff>180975</xdr:rowOff>
    </xdr:to>
    <xdr:sp macro="" textlink="">
      <xdr:nvSpPr>
        <xdr:cNvPr id="6" name="Rectangle 5"/>
        <xdr:cNvSpPr/>
      </xdr:nvSpPr>
      <xdr:spPr>
        <a:xfrm>
          <a:off x="2447925" y="3629025"/>
          <a:ext cx="1266825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=E9-E17</a:t>
          </a:r>
        </a:p>
      </xdr:txBody>
    </xdr:sp>
    <xdr:clientData/>
  </xdr:twoCellAnchor>
  <xdr:twoCellAnchor>
    <xdr:from>
      <xdr:col>3</xdr:col>
      <xdr:colOff>809625</xdr:colOff>
      <xdr:row>18</xdr:row>
      <xdr:rowOff>85725</xdr:rowOff>
    </xdr:from>
    <xdr:to>
      <xdr:col>4</xdr:col>
      <xdr:colOff>123825</xdr:colOff>
      <xdr:row>18</xdr:row>
      <xdr:rowOff>104775</xdr:rowOff>
    </xdr:to>
    <xdr:cxnSp macro="">
      <xdr:nvCxnSpPr>
        <xdr:cNvPr id="7" name="Straight Arrow Connector 6"/>
        <xdr:cNvCxnSpPr>
          <a:stCxn id="6" idx="3"/>
        </xdr:cNvCxnSpPr>
      </xdr:nvCxnSpPr>
      <xdr:spPr>
        <a:xfrm>
          <a:off x="3714750" y="3724275"/>
          <a:ext cx="752475" cy="190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666750</xdr:colOff>
      <xdr:row>21</xdr:row>
      <xdr:rowOff>9524</xdr:rowOff>
    </xdr:from>
    <xdr:to>
      <xdr:col>5</xdr:col>
      <xdr:colOff>514350</xdr:colOff>
      <xdr:row>21</xdr:row>
      <xdr:rowOff>200024</xdr:rowOff>
    </xdr:to>
    <xdr:sp macro="" textlink="">
      <xdr:nvSpPr>
        <xdr:cNvPr id="8" name="Rectangle 7"/>
        <xdr:cNvSpPr/>
      </xdr:nvSpPr>
      <xdr:spPr>
        <a:xfrm>
          <a:off x="5010150" y="4229099"/>
          <a:ext cx="809625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=E23-D23</a:t>
          </a:r>
        </a:p>
      </xdr:txBody>
    </xdr:sp>
    <xdr:clientData/>
  </xdr:twoCellAnchor>
  <xdr:twoCellAnchor>
    <xdr:from>
      <xdr:col>5</xdr:col>
      <xdr:colOff>628650</xdr:colOff>
      <xdr:row>21</xdr:row>
      <xdr:rowOff>114300</xdr:rowOff>
    </xdr:from>
    <xdr:to>
      <xdr:col>7</xdr:col>
      <xdr:colOff>847725</xdr:colOff>
      <xdr:row>22</xdr:row>
      <xdr:rowOff>57150</xdr:rowOff>
    </xdr:to>
    <xdr:sp macro="" textlink="">
      <xdr:nvSpPr>
        <xdr:cNvPr id="9" name="Rectangle 8"/>
        <xdr:cNvSpPr/>
      </xdr:nvSpPr>
      <xdr:spPr>
        <a:xfrm>
          <a:off x="5934075" y="4333875"/>
          <a:ext cx="21431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=(Hour(F23)+(Minute(F23)/60))*G23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704849</xdr:colOff>
      <xdr:row>7</xdr:row>
      <xdr:rowOff>133350</xdr:rowOff>
    </xdr:from>
    <xdr:to>
      <xdr:col>3</xdr:col>
      <xdr:colOff>733424</xdr:colOff>
      <xdr:row>8</xdr:row>
      <xdr:rowOff>114301</xdr:rowOff>
    </xdr:to>
    <xdr:sp macro="" textlink="">
      <xdr:nvSpPr>
        <xdr:cNvPr id="10" name="Rectangle 9"/>
        <xdr:cNvSpPr/>
      </xdr:nvSpPr>
      <xdr:spPr>
        <a:xfrm>
          <a:off x="1943099" y="1466850"/>
          <a:ext cx="771525" cy="17145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=D13*C13</a:t>
          </a:r>
        </a:p>
      </xdr:txBody>
    </xdr:sp>
    <xdr:clientData/>
  </xdr:twoCellAnchor>
  <xdr:twoCellAnchor>
    <xdr:from>
      <xdr:col>3</xdr:col>
      <xdr:colOff>819150</xdr:colOff>
      <xdr:row>7</xdr:row>
      <xdr:rowOff>114300</xdr:rowOff>
    </xdr:from>
    <xdr:to>
      <xdr:col>5</xdr:col>
      <xdr:colOff>28574</xdr:colOff>
      <xdr:row>8</xdr:row>
      <xdr:rowOff>104775</xdr:rowOff>
    </xdr:to>
    <xdr:sp macro="" textlink="">
      <xdr:nvSpPr>
        <xdr:cNvPr id="11" name="Rectangle 10"/>
        <xdr:cNvSpPr/>
      </xdr:nvSpPr>
      <xdr:spPr>
        <a:xfrm>
          <a:off x="2800350" y="1447800"/>
          <a:ext cx="800099" cy="1809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=E13/4000</a:t>
          </a:r>
        </a:p>
      </xdr:txBody>
    </xdr:sp>
    <xdr:clientData/>
  </xdr:twoCellAnchor>
  <xdr:twoCellAnchor>
    <xdr:from>
      <xdr:col>5</xdr:col>
      <xdr:colOff>114300</xdr:colOff>
      <xdr:row>7</xdr:row>
      <xdr:rowOff>180975</xdr:rowOff>
    </xdr:from>
    <xdr:to>
      <xdr:col>6</xdr:col>
      <xdr:colOff>495300</xdr:colOff>
      <xdr:row>8</xdr:row>
      <xdr:rowOff>180975</xdr:rowOff>
    </xdr:to>
    <xdr:sp macro="" textlink="">
      <xdr:nvSpPr>
        <xdr:cNvPr id="12" name="Rectangle 11"/>
        <xdr:cNvSpPr/>
      </xdr:nvSpPr>
      <xdr:spPr>
        <a:xfrm>
          <a:off x="3686175" y="1514475"/>
          <a:ext cx="1095375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=INT(E13/4000)</a:t>
          </a:r>
        </a:p>
      </xdr:txBody>
    </xdr:sp>
    <xdr:clientData/>
  </xdr:twoCellAnchor>
  <xdr:twoCellAnchor>
    <xdr:from>
      <xdr:col>6</xdr:col>
      <xdr:colOff>657225</xdr:colOff>
      <xdr:row>8</xdr:row>
      <xdr:rowOff>19050</xdr:rowOff>
    </xdr:from>
    <xdr:to>
      <xdr:col>7</xdr:col>
      <xdr:colOff>942975</xdr:colOff>
      <xdr:row>9</xdr:row>
      <xdr:rowOff>9526</xdr:rowOff>
    </xdr:to>
    <xdr:sp macro="" textlink="">
      <xdr:nvSpPr>
        <xdr:cNvPr id="13" name="Rectangle 12"/>
        <xdr:cNvSpPr/>
      </xdr:nvSpPr>
      <xdr:spPr>
        <a:xfrm>
          <a:off x="4943475" y="1543050"/>
          <a:ext cx="1219200" cy="1809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=MOD(E13,4000</a:t>
          </a:r>
        </a:p>
      </xdr:txBody>
    </xdr:sp>
    <xdr:clientData/>
  </xdr:twoCellAnchor>
  <xdr:twoCellAnchor>
    <xdr:from>
      <xdr:col>3</xdr:col>
      <xdr:colOff>133350</xdr:colOff>
      <xdr:row>8</xdr:row>
      <xdr:rowOff>142875</xdr:rowOff>
    </xdr:from>
    <xdr:to>
      <xdr:col>4</xdr:col>
      <xdr:colOff>47625</xdr:colOff>
      <xdr:row>12</xdr:row>
      <xdr:rowOff>114300</xdr:rowOff>
    </xdr:to>
    <xdr:cxnSp macro="">
      <xdr:nvCxnSpPr>
        <xdr:cNvPr id="14" name="Straight Arrow Connector 13"/>
        <xdr:cNvCxnSpPr/>
      </xdr:nvCxnSpPr>
      <xdr:spPr>
        <a:xfrm>
          <a:off x="2114550" y="1666875"/>
          <a:ext cx="790575" cy="11525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8</xdr:row>
      <xdr:rowOff>85725</xdr:rowOff>
    </xdr:from>
    <xdr:to>
      <xdr:col>5</xdr:col>
      <xdr:colOff>257175</xdr:colOff>
      <xdr:row>12</xdr:row>
      <xdr:rowOff>114300</xdr:rowOff>
    </xdr:to>
    <xdr:cxnSp macro="">
      <xdr:nvCxnSpPr>
        <xdr:cNvPr id="15" name="Straight Arrow Connector 14"/>
        <xdr:cNvCxnSpPr/>
      </xdr:nvCxnSpPr>
      <xdr:spPr>
        <a:xfrm>
          <a:off x="2857500" y="1609725"/>
          <a:ext cx="971550" cy="12096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8</xdr:row>
      <xdr:rowOff>171450</xdr:rowOff>
    </xdr:from>
    <xdr:to>
      <xdr:col>6</xdr:col>
      <xdr:colOff>257175</xdr:colOff>
      <xdr:row>12</xdr:row>
      <xdr:rowOff>152400</xdr:rowOff>
    </xdr:to>
    <xdr:cxnSp macro="">
      <xdr:nvCxnSpPr>
        <xdr:cNvPr id="16" name="Straight Arrow Connector 15"/>
        <xdr:cNvCxnSpPr/>
      </xdr:nvCxnSpPr>
      <xdr:spPr>
        <a:xfrm>
          <a:off x="3838575" y="1695450"/>
          <a:ext cx="704850" cy="11620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657225</xdr:colOff>
      <xdr:row>9</xdr:row>
      <xdr:rowOff>9525</xdr:rowOff>
    </xdr:from>
    <xdr:to>
      <xdr:col>7</xdr:col>
      <xdr:colOff>190500</xdr:colOff>
      <xdr:row>12</xdr:row>
      <xdr:rowOff>66675</xdr:rowOff>
    </xdr:to>
    <xdr:cxnSp macro="">
      <xdr:nvCxnSpPr>
        <xdr:cNvPr id="17" name="Straight Arrow Connector 16"/>
        <xdr:cNvCxnSpPr/>
      </xdr:nvCxnSpPr>
      <xdr:spPr>
        <a:xfrm>
          <a:off x="4943475" y="1724025"/>
          <a:ext cx="466725" cy="8191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25</xdr:row>
      <xdr:rowOff>161924</xdr:rowOff>
    </xdr:from>
    <xdr:to>
      <xdr:col>7</xdr:col>
      <xdr:colOff>9524</xdr:colOff>
      <xdr:row>40</xdr:row>
      <xdr:rowOff>4761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90487</xdr:rowOff>
    </xdr:from>
    <xdr:to>
      <xdr:col>9</xdr:col>
      <xdr:colOff>733425</xdr:colOff>
      <xdr:row>12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12</xdr:row>
      <xdr:rowOff>171450</xdr:rowOff>
    </xdr:from>
    <xdr:to>
      <xdr:col>2</xdr:col>
      <xdr:colOff>723899</xdr:colOff>
      <xdr:row>23</xdr:row>
      <xdr:rowOff>247649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762000</xdr:colOff>
      <xdr:row>12</xdr:row>
      <xdr:rowOff>171450</xdr:rowOff>
    </xdr:from>
    <xdr:to>
      <xdr:col>9</xdr:col>
      <xdr:colOff>695325</xdr:colOff>
      <xdr:row>25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609599</xdr:colOff>
      <xdr:row>4</xdr:row>
      <xdr:rowOff>190500</xdr:rowOff>
    </xdr:from>
    <xdr:to>
      <xdr:col>11</xdr:col>
      <xdr:colOff>114300</xdr:colOff>
      <xdr:row>7</xdr:row>
      <xdr:rowOff>85725</xdr:rowOff>
    </xdr:to>
    <xdr:sp macro="" textlink="">
      <xdr:nvSpPr>
        <xdr:cNvPr id="5" name="Rounded Rectangular Callout 4"/>
        <xdr:cNvSpPr/>
      </xdr:nvSpPr>
      <xdr:spPr>
        <a:xfrm>
          <a:off x="7762874" y="1181100"/>
          <a:ext cx="1866901" cy="638175"/>
        </a:xfrm>
        <a:prstGeom prst="wedgeRoundRectCallout">
          <a:avLst>
            <a:gd name="adj1" fmla="val -76514"/>
            <a:gd name="adj2" fmla="val 35610"/>
            <a:gd name="adj3" fmla="val 16667"/>
          </a:avLst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km-KH" sz="1050"/>
            <a:t>ចូរសង់</a:t>
          </a:r>
          <a:r>
            <a:rPr lang="km-KH" sz="1050" baseline="0"/>
            <a:t> </a:t>
          </a:r>
          <a:r>
            <a:rPr lang="en-US" sz="1050" baseline="0"/>
            <a:t>Chart in Phnom Penh</a:t>
          </a:r>
          <a:endParaRPr lang="en-US" sz="1050"/>
        </a:p>
      </xdr:txBody>
    </xdr:sp>
    <xdr:clientData/>
  </xdr:twoCellAnchor>
  <xdr:twoCellAnchor>
    <xdr:from>
      <xdr:col>0</xdr:col>
      <xdr:colOff>0</xdr:colOff>
      <xdr:row>24</xdr:row>
      <xdr:rowOff>228600</xdr:rowOff>
    </xdr:from>
    <xdr:to>
      <xdr:col>2</xdr:col>
      <xdr:colOff>800100</xdr:colOff>
      <xdr:row>26</xdr:row>
      <xdr:rowOff>142875</xdr:rowOff>
    </xdr:to>
    <xdr:sp macro="" textlink="">
      <xdr:nvSpPr>
        <xdr:cNvPr id="6" name="Rounded Rectangular Callout 5"/>
        <xdr:cNvSpPr/>
      </xdr:nvSpPr>
      <xdr:spPr>
        <a:xfrm>
          <a:off x="0" y="6172200"/>
          <a:ext cx="2695575" cy="409575"/>
        </a:xfrm>
        <a:prstGeom prst="wedgeRoundRectCallout">
          <a:avLst>
            <a:gd name="adj1" fmla="val -11167"/>
            <a:gd name="adj2" fmla="val -167352"/>
            <a:gd name="adj3" fmla="val 16667"/>
          </a:avLst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km-KH" sz="1050"/>
            <a:t>ចូរសង់​</a:t>
          </a:r>
          <a:r>
            <a:rPr lang="km-KH" sz="1050" baseline="0"/>
            <a:t> </a:t>
          </a:r>
          <a:r>
            <a:rPr lang="en-US" sz="1050" baseline="0"/>
            <a:t>Chart </a:t>
          </a:r>
          <a:r>
            <a:rPr lang="km-KH" sz="1050" baseline="0"/>
            <a:t>ដើម្បី </a:t>
          </a:r>
          <a:r>
            <a:rPr lang="en-US" sz="1050" baseline="0"/>
            <a:t>Income in Phnom Penh</a:t>
          </a:r>
          <a:endParaRPr lang="en-US" sz="1050"/>
        </a:p>
      </xdr:txBody>
    </xdr:sp>
    <xdr:clientData/>
  </xdr:twoCellAnchor>
  <xdr:twoCellAnchor>
    <xdr:from>
      <xdr:col>4</xdr:col>
      <xdr:colOff>38100</xdr:colOff>
      <xdr:row>25</xdr:row>
      <xdr:rowOff>38101</xdr:rowOff>
    </xdr:from>
    <xdr:to>
      <xdr:col>8</xdr:col>
      <xdr:colOff>361950</xdr:colOff>
      <xdr:row>26</xdr:row>
      <xdr:rowOff>190501</xdr:rowOff>
    </xdr:to>
    <xdr:sp macro="" textlink="">
      <xdr:nvSpPr>
        <xdr:cNvPr id="7" name="Rounded Rectangular Callout 6"/>
        <xdr:cNvSpPr/>
      </xdr:nvSpPr>
      <xdr:spPr>
        <a:xfrm>
          <a:off x="3686175" y="6229351"/>
          <a:ext cx="3829050" cy="400050"/>
        </a:xfrm>
        <a:prstGeom prst="wedgeRoundRectCallout">
          <a:avLst>
            <a:gd name="adj1" fmla="val -27834"/>
            <a:gd name="adj2" fmla="val -95924"/>
            <a:gd name="adj3" fmla="val 16667"/>
          </a:avLst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km-KH" sz="1050"/>
            <a:t>ចូរសង់​</a:t>
          </a:r>
          <a:r>
            <a:rPr lang="km-KH" sz="1050" baseline="0"/>
            <a:t> </a:t>
          </a:r>
          <a:r>
            <a:rPr lang="en-US" sz="1050" baseline="0"/>
            <a:t>Chart in Phnom Penh, Kompong Cham, Kompong Thom</a:t>
          </a:r>
          <a:endParaRPr lang="en-US" sz="105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3</xdr:row>
      <xdr:rowOff>9525</xdr:rowOff>
    </xdr:from>
    <xdr:to>
      <xdr:col>6</xdr:col>
      <xdr:colOff>428625</xdr:colOff>
      <xdr:row>3</xdr:row>
      <xdr:rowOff>323850</xdr:rowOff>
    </xdr:to>
    <xdr:sp macro="" textlink="">
      <xdr:nvSpPr>
        <xdr:cNvPr id="14" name="Rectangle 13"/>
        <xdr:cNvSpPr/>
      </xdr:nvSpPr>
      <xdr:spPr>
        <a:xfrm>
          <a:off x="4343400" y="981075"/>
          <a:ext cx="933450" cy="314325"/>
        </a:xfrm>
        <a:prstGeom prst="rect">
          <a:avLst/>
        </a:prstGeom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=</a:t>
          </a:r>
          <a:r>
            <a:rPr lang="en-US" sz="1100" b="0"/>
            <a:t>SUM(C7:F7</a:t>
          </a:r>
          <a:r>
            <a:rPr lang="en-US" sz="1100"/>
            <a:t>)</a:t>
          </a:r>
        </a:p>
      </xdr:txBody>
    </xdr:sp>
    <xdr:clientData/>
  </xdr:twoCellAnchor>
  <xdr:twoCellAnchor>
    <xdr:from>
      <xdr:col>5</xdr:col>
      <xdr:colOff>571500</xdr:colOff>
      <xdr:row>3</xdr:row>
      <xdr:rowOff>323850</xdr:rowOff>
    </xdr:from>
    <xdr:to>
      <xdr:col>6</xdr:col>
      <xdr:colOff>133350</xdr:colOff>
      <xdr:row>6</xdr:row>
      <xdr:rowOff>123825</xdr:rowOff>
    </xdr:to>
    <xdr:cxnSp macro="">
      <xdr:nvCxnSpPr>
        <xdr:cNvPr id="15" name="Straight Arrow Connector 14"/>
        <xdr:cNvCxnSpPr>
          <a:stCxn id="14" idx="2"/>
        </xdr:cNvCxnSpPr>
      </xdr:nvCxnSpPr>
      <xdr:spPr>
        <a:xfrm>
          <a:off x="4810125" y="1295400"/>
          <a:ext cx="171450" cy="9429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1447799</xdr:colOff>
      <xdr:row>15</xdr:row>
      <xdr:rowOff>161925</xdr:rowOff>
    </xdr:from>
    <xdr:to>
      <xdr:col>2</xdr:col>
      <xdr:colOff>561975</xdr:colOff>
      <xdr:row>16</xdr:row>
      <xdr:rowOff>171450</xdr:rowOff>
    </xdr:to>
    <xdr:sp macro="" textlink="">
      <xdr:nvSpPr>
        <xdr:cNvPr id="16" name="Rectangle 15"/>
        <xdr:cNvSpPr/>
      </xdr:nvSpPr>
      <xdr:spPr>
        <a:xfrm>
          <a:off x="1819274" y="4000500"/>
          <a:ext cx="1057276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=SUM(C7:C14)</a:t>
          </a:r>
        </a:p>
      </xdr:txBody>
    </xdr:sp>
    <xdr:clientData/>
  </xdr:twoCellAnchor>
  <xdr:twoCellAnchor>
    <xdr:from>
      <xdr:col>2</xdr:col>
      <xdr:colOff>85725</xdr:colOff>
      <xdr:row>14</xdr:row>
      <xdr:rowOff>66675</xdr:rowOff>
    </xdr:from>
    <xdr:to>
      <xdr:col>2</xdr:col>
      <xdr:colOff>133350</xdr:colOff>
      <xdr:row>15</xdr:row>
      <xdr:rowOff>171451</xdr:rowOff>
    </xdr:to>
    <xdr:cxnSp macro="">
      <xdr:nvCxnSpPr>
        <xdr:cNvPr id="17" name="Straight Arrow Connector 16"/>
        <xdr:cNvCxnSpPr/>
      </xdr:nvCxnSpPr>
      <xdr:spPr>
        <a:xfrm flipH="1" flipV="1">
          <a:off x="2400300" y="3705225"/>
          <a:ext cx="47625" cy="30480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228600</xdr:colOff>
      <xdr:row>15</xdr:row>
      <xdr:rowOff>133350</xdr:rowOff>
    </xdr:from>
    <xdr:to>
      <xdr:col>6</xdr:col>
      <xdr:colOff>754673</xdr:colOff>
      <xdr:row>16</xdr:row>
      <xdr:rowOff>161192</xdr:rowOff>
    </xdr:to>
    <xdr:sp macro="" textlink="">
      <xdr:nvSpPr>
        <xdr:cNvPr id="18" name="Rectangle 17"/>
        <xdr:cNvSpPr/>
      </xdr:nvSpPr>
      <xdr:spPr>
        <a:xfrm>
          <a:off x="4463562" y="3855427"/>
          <a:ext cx="1134207" cy="22566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=SUM(C20:F20)</a:t>
          </a:r>
        </a:p>
      </xdr:txBody>
    </xdr:sp>
    <xdr:clientData/>
  </xdr:twoCellAnchor>
  <xdr:twoCellAnchor>
    <xdr:from>
      <xdr:col>6</xdr:col>
      <xdr:colOff>187570</xdr:colOff>
      <xdr:row>16</xdr:row>
      <xdr:rowOff>161192</xdr:rowOff>
    </xdr:from>
    <xdr:to>
      <xdr:col>6</xdr:col>
      <xdr:colOff>476250</xdr:colOff>
      <xdr:row>19</xdr:row>
      <xdr:rowOff>133350</xdr:rowOff>
    </xdr:to>
    <xdr:cxnSp macro="">
      <xdr:nvCxnSpPr>
        <xdr:cNvPr id="19" name="Straight Arrow Connector 18"/>
        <xdr:cNvCxnSpPr>
          <a:stCxn id="18" idx="2"/>
        </xdr:cNvCxnSpPr>
      </xdr:nvCxnSpPr>
      <xdr:spPr>
        <a:xfrm>
          <a:off x="5030666" y="4081096"/>
          <a:ext cx="288680" cy="55831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1657348</xdr:colOff>
      <xdr:row>28</xdr:row>
      <xdr:rowOff>152400</xdr:rowOff>
    </xdr:from>
    <xdr:to>
      <xdr:col>3</xdr:col>
      <xdr:colOff>104775</xdr:colOff>
      <xdr:row>29</xdr:row>
      <xdr:rowOff>209550</xdr:rowOff>
    </xdr:to>
    <xdr:sp macro="" textlink="">
      <xdr:nvSpPr>
        <xdr:cNvPr id="20" name="Rectangle 19"/>
        <xdr:cNvSpPr/>
      </xdr:nvSpPr>
      <xdr:spPr>
        <a:xfrm>
          <a:off x="2028823" y="6981825"/>
          <a:ext cx="1095377" cy="2571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=SUM(C20:C27)</a:t>
          </a:r>
        </a:p>
      </xdr:txBody>
    </xdr:sp>
    <xdr:clientData/>
  </xdr:twoCellAnchor>
  <xdr:twoCellAnchor>
    <xdr:from>
      <xdr:col>2</xdr:col>
      <xdr:colOff>114300</xdr:colOff>
      <xdr:row>27</xdr:row>
      <xdr:rowOff>66675</xdr:rowOff>
    </xdr:from>
    <xdr:to>
      <xdr:col>2</xdr:col>
      <xdr:colOff>209550</xdr:colOff>
      <xdr:row>28</xdr:row>
      <xdr:rowOff>161926</xdr:rowOff>
    </xdr:to>
    <xdr:cxnSp macro="">
      <xdr:nvCxnSpPr>
        <xdr:cNvPr id="21" name="Straight Arrow Connector 20"/>
        <xdr:cNvCxnSpPr/>
      </xdr:nvCxnSpPr>
      <xdr:spPr>
        <a:xfrm flipH="1" flipV="1">
          <a:off x="2428875" y="6696075"/>
          <a:ext cx="95250" cy="29527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1495426</xdr:colOff>
      <xdr:row>31</xdr:row>
      <xdr:rowOff>76200</xdr:rowOff>
    </xdr:from>
    <xdr:to>
      <xdr:col>2</xdr:col>
      <xdr:colOff>314326</xdr:colOff>
      <xdr:row>32</xdr:row>
      <xdr:rowOff>133350</xdr:rowOff>
    </xdr:to>
    <xdr:sp macro="" textlink="">
      <xdr:nvSpPr>
        <xdr:cNvPr id="22" name="Rectangle 21"/>
        <xdr:cNvSpPr/>
      </xdr:nvSpPr>
      <xdr:spPr>
        <a:xfrm>
          <a:off x="1866901" y="7620000"/>
          <a:ext cx="762000" cy="2571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=C15-C28</a:t>
          </a:r>
        </a:p>
      </xdr:txBody>
    </xdr:sp>
    <xdr:clientData/>
  </xdr:twoCellAnchor>
  <xdr:twoCellAnchor>
    <xdr:from>
      <xdr:col>2</xdr:col>
      <xdr:colOff>47625</xdr:colOff>
      <xdr:row>30</xdr:row>
      <xdr:rowOff>57150</xdr:rowOff>
    </xdr:from>
    <xdr:to>
      <xdr:col>2</xdr:col>
      <xdr:colOff>171450</xdr:colOff>
      <xdr:row>31</xdr:row>
      <xdr:rowOff>76200</xdr:rowOff>
    </xdr:to>
    <xdr:cxnSp macro="">
      <xdr:nvCxnSpPr>
        <xdr:cNvPr id="23" name="Straight Arrow Connector 22"/>
        <xdr:cNvCxnSpPr/>
      </xdr:nvCxnSpPr>
      <xdr:spPr>
        <a:xfrm flipH="1" flipV="1">
          <a:off x="2362200" y="7391400"/>
          <a:ext cx="123825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824975</xdr:colOff>
      <xdr:row>2</xdr:row>
      <xdr:rowOff>180975</xdr:rowOff>
    </xdr:from>
    <xdr:ext cx="1960794" cy="436786"/>
    <xdr:sp macro="" textlink="">
      <xdr:nvSpPr>
        <xdr:cNvPr id="6" name="TextBox 5"/>
        <xdr:cNvSpPr txBox="1"/>
      </xdr:nvSpPr>
      <xdr:spPr>
        <a:xfrm>
          <a:off x="4282550" y="561975"/>
          <a:ext cx="196079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r"/>
          <a:r>
            <a:rPr lang="en-US" sz="1100"/>
            <a:t>Invioce</a:t>
          </a:r>
          <a:r>
            <a:rPr lang="en-US" sz="1100" baseline="0"/>
            <a:t> N</a:t>
          </a:r>
          <a:r>
            <a:rPr lang="en-US" sz="1100" baseline="30000"/>
            <a:t>o</a:t>
          </a:r>
          <a:r>
            <a:rPr lang="en-US" sz="1100" baseline="0"/>
            <a:t> : ..............................</a:t>
          </a:r>
        </a:p>
        <a:p>
          <a:pPr algn="r"/>
          <a:r>
            <a:rPr lang="en-US" sz="1100" baseline="0"/>
            <a:t>Date : ..............................</a:t>
          </a:r>
          <a:endParaRPr lang="en-US" sz="1100"/>
        </a:p>
      </xdr:txBody>
    </xdr:sp>
    <xdr:clientData/>
  </xdr:oneCellAnchor>
  <xdr:oneCellAnchor>
    <xdr:from>
      <xdr:col>1</xdr:col>
      <xdr:colOff>1257300</xdr:colOff>
      <xdr:row>0</xdr:row>
      <xdr:rowOff>9525</xdr:rowOff>
    </xdr:from>
    <xdr:ext cx="2762616" cy="467757"/>
    <xdr:sp macro="" textlink="">
      <xdr:nvSpPr>
        <xdr:cNvPr id="7" name="TextBox 6"/>
        <xdr:cNvSpPr txBox="1"/>
      </xdr:nvSpPr>
      <xdr:spPr>
        <a:xfrm>
          <a:off x="1524000" y="9525"/>
          <a:ext cx="2762616" cy="467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Impact" panose="020B0806030902050204" pitchFamily="34" charset="0"/>
            </a:rPr>
            <a:t>PEPY Computer Shop</a:t>
          </a:r>
        </a:p>
      </xdr:txBody>
    </xdr:sp>
    <xdr:clientData/>
  </xdr:oneCellAnchor>
  <xdr:twoCellAnchor>
    <xdr:from>
      <xdr:col>3</xdr:col>
      <xdr:colOff>200026</xdr:colOff>
      <xdr:row>6</xdr:row>
      <xdr:rowOff>57150</xdr:rowOff>
    </xdr:from>
    <xdr:to>
      <xdr:col>4</xdr:col>
      <xdr:colOff>409576</xdr:colOff>
      <xdr:row>7</xdr:row>
      <xdr:rowOff>76200</xdr:rowOff>
    </xdr:to>
    <xdr:sp macro="" textlink="">
      <xdr:nvSpPr>
        <xdr:cNvPr id="8" name="Rectangle 7"/>
        <xdr:cNvSpPr/>
      </xdr:nvSpPr>
      <xdr:spPr>
        <a:xfrm>
          <a:off x="3057526" y="1200150"/>
          <a:ext cx="981075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=D10*C10</a:t>
          </a:r>
        </a:p>
      </xdr:txBody>
    </xdr:sp>
    <xdr:clientData/>
  </xdr:twoCellAnchor>
  <xdr:twoCellAnchor>
    <xdr:from>
      <xdr:col>4</xdr:col>
      <xdr:colOff>885825</xdr:colOff>
      <xdr:row>5</xdr:row>
      <xdr:rowOff>171450</xdr:rowOff>
    </xdr:from>
    <xdr:to>
      <xdr:col>5</xdr:col>
      <xdr:colOff>504824</xdr:colOff>
      <xdr:row>7</xdr:row>
      <xdr:rowOff>19050</xdr:rowOff>
    </xdr:to>
    <xdr:sp macro="" textlink="">
      <xdr:nvSpPr>
        <xdr:cNvPr id="9" name="Rectangle 8"/>
        <xdr:cNvSpPr/>
      </xdr:nvSpPr>
      <xdr:spPr>
        <a:xfrm>
          <a:off x="4514850" y="1123950"/>
          <a:ext cx="1019174" cy="228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=E10*4000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428624</xdr:colOff>
      <xdr:row>5</xdr:row>
      <xdr:rowOff>0</xdr:rowOff>
    </xdr:from>
    <xdr:to>
      <xdr:col>11</xdr:col>
      <xdr:colOff>428626</xdr:colOff>
      <xdr:row>5</xdr:row>
      <xdr:rowOff>171449</xdr:rowOff>
    </xdr:to>
    <xdr:sp macro="" textlink="">
      <xdr:nvSpPr>
        <xdr:cNvPr id="14" name="Rectangle 13"/>
        <xdr:cNvSpPr/>
      </xdr:nvSpPr>
      <xdr:spPr>
        <a:xfrm>
          <a:off x="5448299" y="2009775"/>
          <a:ext cx="1638302" cy="1714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=RANK(K8,$K$8:$K$23)</a:t>
          </a:r>
        </a:p>
      </xdr:txBody>
    </xdr:sp>
    <xdr:clientData/>
  </xdr:twoCellAnchor>
  <xdr:twoCellAnchor>
    <xdr:from>
      <xdr:col>8</xdr:col>
      <xdr:colOff>76199</xdr:colOff>
      <xdr:row>2</xdr:row>
      <xdr:rowOff>142876</xdr:rowOff>
    </xdr:from>
    <xdr:to>
      <xdr:col>9</xdr:col>
      <xdr:colOff>828675</xdr:colOff>
      <xdr:row>4</xdr:row>
      <xdr:rowOff>9526</xdr:rowOff>
    </xdr:to>
    <xdr:sp macro="" textlink="">
      <xdr:nvSpPr>
        <xdr:cNvPr id="15" name="Rectangle 14"/>
        <xdr:cNvSpPr/>
      </xdr:nvSpPr>
      <xdr:spPr>
        <a:xfrm>
          <a:off x="4581524" y="1581151"/>
          <a:ext cx="1266826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=AVERAGE(E8:I8)</a:t>
          </a:r>
        </a:p>
      </xdr:txBody>
    </xdr:sp>
    <xdr:clientData/>
  </xdr:twoCellAnchor>
  <xdr:twoCellAnchor>
    <xdr:from>
      <xdr:col>9</xdr:col>
      <xdr:colOff>914400</xdr:colOff>
      <xdr:row>2</xdr:row>
      <xdr:rowOff>142877</xdr:rowOff>
    </xdr:from>
    <xdr:to>
      <xdr:col>12</xdr:col>
      <xdr:colOff>333375</xdr:colOff>
      <xdr:row>3</xdr:row>
      <xdr:rowOff>171451</xdr:rowOff>
    </xdr:to>
    <xdr:sp macro="" textlink="">
      <xdr:nvSpPr>
        <xdr:cNvPr id="16" name="Rectangle 15"/>
        <xdr:cNvSpPr/>
      </xdr:nvSpPr>
      <xdr:spPr>
        <a:xfrm>
          <a:off x="5934075" y="923927"/>
          <a:ext cx="1704975" cy="21907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=IF(K8&gt;=50,"Pass","Fail"</a:t>
          </a:r>
        </a:p>
      </xdr:txBody>
    </xdr:sp>
    <xdr:clientData/>
  </xdr:twoCellAnchor>
  <xdr:twoCellAnchor>
    <xdr:from>
      <xdr:col>7</xdr:col>
      <xdr:colOff>190500</xdr:colOff>
      <xdr:row>4</xdr:row>
      <xdr:rowOff>114300</xdr:rowOff>
    </xdr:from>
    <xdr:to>
      <xdr:col>9</xdr:col>
      <xdr:colOff>104775</xdr:colOff>
      <xdr:row>5</xdr:row>
      <xdr:rowOff>152400</xdr:rowOff>
    </xdr:to>
    <xdr:sp macro="" textlink="">
      <xdr:nvSpPr>
        <xdr:cNvPr id="17" name="Rectangle 16"/>
        <xdr:cNvSpPr/>
      </xdr:nvSpPr>
      <xdr:spPr>
        <a:xfrm>
          <a:off x="4210050" y="1276350"/>
          <a:ext cx="914400" cy="228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=SUM(E8:I8)</a:t>
          </a:r>
        </a:p>
      </xdr:txBody>
    </xdr:sp>
    <xdr:clientData/>
  </xdr:twoCellAnchor>
  <xdr:twoCellAnchor>
    <xdr:from>
      <xdr:col>8</xdr:col>
      <xdr:colOff>180975</xdr:colOff>
      <xdr:row>5</xdr:row>
      <xdr:rowOff>142875</xdr:rowOff>
    </xdr:from>
    <xdr:to>
      <xdr:col>9</xdr:col>
      <xdr:colOff>142875</xdr:colOff>
      <xdr:row>7</xdr:row>
      <xdr:rowOff>85725</xdr:rowOff>
    </xdr:to>
    <xdr:cxnSp macro="">
      <xdr:nvCxnSpPr>
        <xdr:cNvPr id="18" name="Straight Arrow Connector 17"/>
        <xdr:cNvCxnSpPr/>
      </xdr:nvCxnSpPr>
      <xdr:spPr>
        <a:xfrm>
          <a:off x="4686300" y="1495425"/>
          <a:ext cx="476250" cy="9048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4</xdr:row>
      <xdr:rowOff>28575</xdr:rowOff>
    </xdr:from>
    <xdr:to>
      <xdr:col>10</xdr:col>
      <xdr:colOff>66675</xdr:colOff>
      <xdr:row>7</xdr:row>
      <xdr:rowOff>95250</xdr:rowOff>
    </xdr:to>
    <xdr:cxnSp macro="">
      <xdr:nvCxnSpPr>
        <xdr:cNvPr id="19" name="Straight Arrow Connector 18"/>
        <xdr:cNvCxnSpPr/>
      </xdr:nvCxnSpPr>
      <xdr:spPr>
        <a:xfrm>
          <a:off x="5162550" y="1190625"/>
          <a:ext cx="885825" cy="12192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523875</xdr:colOff>
      <xdr:row>5</xdr:row>
      <xdr:rowOff>180975</xdr:rowOff>
    </xdr:from>
    <xdr:to>
      <xdr:col>11</xdr:col>
      <xdr:colOff>114300</xdr:colOff>
      <xdr:row>7</xdr:row>
      <xdr:rowOff>66675</xdr:rowOff>
    </xdr:to>
    <xdr:cxnSp macro="">
      <xdr:nvCxnSpPr>
        <xdr:cNvPr id="20" name="Straight Arrow Connector 19"/>
        <xdr:cNvCxnSpPr/>
      </xdr:nvCxnSpPr>
      <xdr:spPr>
        <a:xfrm>
          <a:off x="6505575" y="1533525"/>
          <a:ext cx="266700" cy="8477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619125</xdr:colOff>
      <xdr:row>3</xdr:row>
      <xdr:rowOff>152400</xdr:rowOff>
    </xdr:from>
    <xdr:to>
      <xdr:col>12</xdr:col>
      <xdr:colOff>161925</xdr:colOff>
      <xdr:row>7</xdr:row>
      <xdr:rowOff>57150</xdr:rowOff>
    </xdr:to>
    <xdr:cxnSp macro="">
      <xdr:nvCxnSpPr>
        <xdr:cNvPr id="21" name="Straight Arrow Connector 20"/>
        <xdr:cNvCxnSpPr/>
      </xdr:nvCxnSpPr>
      <xdr:spPr>
        <a:xfrm>
          <a:off x="7277100" y="1123950"/>
          <a:ext cx="190500" cy="12477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419099</xdr:colOff>
      <xdr:row>25</xdr:row>
      <xdr:rowOff>19051</xdr:rowOff>
    </xdr:from>
    <xdr:to>
      <xdr:col>5</xdr:col>
      <xdr:colOff>438150</xdr:colOff>
      <xdr:row>26</xdr:row>
      <xdr:rowOff>38100</xdr:rowOff>
    </xdr:to>
    <xdr:sp macro="" textlink="">
      <xdr:nvSpPr>
        <xdr:cNvPr id="22" name="Rectangle 21"/>
        <xdr:cNvSpPr/>
      </xdr:nvSpPr>
      <xdr:spPr>
        <a:xfrm>
          <a:off x="2476499" y="5781676"/>
          <a:ext cx="1028701" cy="2095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=MAX(E8:E23)</a:t>
          </a:r>
        </a:p>
      </xdr:txBody>
    </xdr:sp>
    <xdr:clientData/>
  </xdr:twoCellAnchor>
  <xdr:twoCellAnchor>
    <xdr:from>
      <xdr:col>3</xdr:col>
      <xdr:colOff>495300</xdr:colOff>
      <xdr:row>30</xdr:row>
      <xdr:rowOff>28575</xdr:rowOff>
    </xdr:from>
    <xdr:to>
      <xdr:col>5</xdr:col>
      <xdr:colOff>457200</xdr:colOff>
      <xdr:row>31</xdr:row>
      <xdr:rowOff>66675</xdr:rowOff>
    </xdr:to>
    <xdr:sp macro="" textlink="">
      <xdr:nvSpPr>
        <xdr:cNvPr id="23" name="Rectangle 22"/>
        <xdr:cNvSpPr/>
      </xdr:nvSpPr>
      <xdr:spPr>
        <a:xfrm>
          <a:off x="2552700" y="7162800"/>
          <a:ext cx="971550" cy="228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=MIN(E8:E23)</a:t>
          </a:r>
        </a:p>
      </xdr:txBody>
    </xdr:sp>
    <xdr:clientData/>
  </xdr:twoCellAnchor>
  <xdr:twoCellAnchor>
    <xdr:from>
      <xdr:col>4</xdr:col>
      <xdr:colOff>266700</xdr:colOff>
      <xdr:row>28</xdr:row>
      <xdr:rowOff>304800</xdr:rowOff>
    </xdr:from>
    <xdr:to>
      <xdr:col>4</xdr:col>
      <xdr:colOff>285750</xdr:colOff>
      <xdr:row>30</xdr:row>
      <xdr:rowOff>47625</xdr:rowOff>
    </xdr:to>
    <xdr:cxnSp macro="">
      <xdr:nvCxnSpPr>
        <xdr:cNvPr id="24" name="Straight Arrow Connector 23"/>
        <xdr:cNvCxnSpPr/>
      </xdr:nvCxnSpPr>
      <xdr:spPr>
        <a:xfrm flipH="1" flipV="1">
          <a:off x="2838450" y="6848475"/>
          <a:ext cx="19050" cy="3333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26</xdr:row>
      <xdr:rowOff>66675</xdr:rowOff>
    </xdr:from>
    <xdr:to>
      <xdr:col>4</xdr:col>
      <xdr:colOff>114300</xdr:colOff>
      <xdr:row>27</xdr:row>
      <xdr:rowOff>238125</xdr:rowOff>
    </xdr:to>
    <xdr:cxnSp macro="">
      <xdr:nvCxnSpPr>
        <xdr:cNvPr id="25" name="Straight Arrow Connector 24"/>
        <xdr:cNvCxnSpPr/>
      </xdr:nvCxnSpPr>
      <xdr:spPr>
        <a:xfrm>
          <a:off x="2667000" y="6019800"/>
          <a:ext cx="19050" cy="3619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657225</xdr:colOff>
      <xdr:row>1</xdr:row>
      <xdr:rowOff>95250</xdr:rowOff>
    </xdr:from>
    <xdr:to>
      <xdr:col>5</xdr:col>
      <xdr:colOff>762000</xdr:colOff>
      <xdr:row>2</xdr:row>
      <xdr:rowOff>104775</xdr:rowOff>
    </xdr:to>
    <xdr:sp macro="" textlink="">
      <xdr:nvSpPr>
        <xdr:cNvPr id="2" name="Rectangle 1"/>
        <xdr:cNvSpPr/>
      </xdr:nvSpPr>
      <xdr:spPr>
        <a:xfrm>
          <a:off x="4848225" y="523875"/>
          <a:ext cx="8477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=F6/4000</a:t>
          </a:r>
        </a:p>
        <a:p>
          <a:pPr algn="l"/>
          <a:endParaRPr lang="en-US" sz="1100"/>
        </a:p>
      </xdr:txBody>
    </xdr:sp>
    <xdr:clientData/>
  </xdr:twoCellAnchor>
  <xdr:twoCellAnchor>
    <xdr:from>
      <xdr:col>6</xdr:col>
      <xdr:colOff>323850</xdr:colOff>
      <xdr:row>1</xdr:row>
      <xdr:rowOff>142875</xdr:rowOff>
    </xdr:from>
    <xdr:to>
      <xdr:col>7</xdr:col>
      <xdr:colOff>590550</xdr:colOff>
      <xdr:row>2</xdr:row>
      <xdr:rowOff>123825</xdr:rowOff>
    </xdr:to>
    <xdr:sp macro="" textlink="">
      <xdr:nvSpPr>
        <xdr:cNvPr id="3" name="Rectangle 2"/>
        <xdr:cNvSpPr/>
      </xdr:nvSpPr>
      <xdr:spPr>
        <a:xfrm>
          <a:off x="6686550" y="571500"/>
          <a:ext cx="1133475" cy="1714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=SUM(F6/100)</a:t>
          </a:r>
        </a:p>
        <a:p>
          <a:pPr algn="ctr"/>
          <a:endParaRPr lang="en-US" sz="1100"/>
        </a:p>
      </xdr:txBody>
    </xdr:sp>
    <xdr:clientData/>
  </xdr:twoCellAnchor>
  <xdr:twoCellAnchor>
    <xdr:from>
      <xdr:col>3</xdr:col>
      <xdr:colOff>161924</xdr:colOff>
      <xdr:row>1</xdr:row>
      <xdr:rowOff>114300</xdr:rowOff>
    </xdr:from>
    <xdr:to>
      <xdr:col>4</xdr:col>
      <xdr:colOff>247649</xdr:colOff>
      <xdr:row>2</xdr:row>
      <xdr:rowOff>142875</xdr:rowOff>
    </xdr:to>
    <xdr:sp macro="" textlink="">
      <xdr:nvSpPr>
        <xdr:cNvPr id="4" name="Rectangle 3"/>
        <xdr:cNvSpPr/>
      </xdr:nvSpPr>
      <xdr:spPr>
        <a:xfrm>
          <a:off x="3419474" y="542925"/>
          <a:ext cx="101917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=D6*E6*4000</a:t>
          </a:r>
        </a:p>
        <a:p>
          <a:pPr algn="l"/>
          <a:endParaRPr lang="en-US" sz="1100"/>
        </a:p>
      </xdr:txBody>
    </xdr:sp>
    <xdr:clientData/>
  </xdr:twoCellAnchor>
  <xdr:twoCellAnchor>
    <xdr:from>
      <xdr:col>3</xdr:col>
      <xdr:colOff>847725</xdr:colOff>
      <xdr:row>2</xdr:row>
      <xdr:rowOff>161925</xdr:rowOff>
    </xdr:from>
    <xdr:to>
      <xdr:col>5</xdr:col>
      <xdr:colOff>142875</xdr:colOff>
      <xdr:row>5</xdr:row>
      <xdr:rowOff>104775</xdr:rowOff>
    </xdr:to>
    <xdr:cxnSp macro="">
      <xdr:nvCxnSpPr>
        <xdr:cNvPr id="6" name="Straight Arrow Connector 5"/>
        <xdr:cNvCxnSpPr/>
      </xdr:nvCxnSpPr>
      <xdr:spPr>
        <a:xfrm>
          <a:off x="4105275" y="781050"/>
          <a:ext cx="971550" cy="7143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438150</xdr:colOff>
      <xdr:row>2</xdr:row>
      <xdr:rowOff>142875</xdr:rowOff>
    </xdr:from>
    <xdr:to>
      <xdr:col>6</xdr:col>
      <xdr:colOff>95250</xdr:colOff>
      <xdr:row>5</xdr:row>
      <xdr:rowOff>104775</xdr:rowOff>
    </xdr:to>
    <xdr:cxnSp macro="">
      <xdr:nvCxnSpPr>
        <xdr:cNvPr id="9" name="Straight Arrow Connector 8"/>
        <xdr:cNvCxnSpPr/>
      </xdr:nvCxnSpPr>
      <xdr:spPr>
        <a:xfrm>
          <a:off x="5372100" y="762000"/>
          <a:ext cx="1085850" cy="7334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2</xdr:row>
      <xdr:rowOff>123825</xdr:rowOff>
    </xdr:from>
    <xdr:to>
      <xdr:col>7</xdr:col>
      <xdr:colOff>85726</xdr:colOff>
      <xdr:row>5</xdr:row>
      <xdr:rowOff>123825</xdr:rowOff>
    </xdr:to>
    <xdr:cxnSp macro="">
      <xdr:nvCxnSpPr>
        <xdr:cNvPr id="12" name="Straight Arrow Connector 11"/>
        <xdr:cNvCxnSpPr/>
      </xdr:nvCxnSpPr>
      <xdr:spPr>
        <a:xfrm flipH="1">
          <a:off x="7286625" y="742950"/>
          <a:ext cx="28576" cy="7715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200024</xdr:colOff>
      <xdr:row>25</xdr:row>
      <xdr:rowOff>95250</xdr:rowOff>
    </xdr:from>
    <xdr:to>
      <xdr:col>5</xdr:col>
      <xdr:colOff>266699</xdr:colOff>
      <xdr:row>26</xdr:row>
      <xdr:rowOff>133350</xdr:rowOff>
    </xdr:to>
    <xdr:sp macro="" textlink="">
      <xdr:nvSpPr>
        <xdr:cNvPr id="17" name="Rectangle 16"/>
        <xdr:cNvSpPr/>
      </xdr:nvSpPr>
      <xdr:spPr>
        <a:xfrm>
          <a:off x="3457574" y="5400675"/>
          <a:ext cx="1743075" cy="228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=SUMIF(B6:B19,B6,g6:G19)</a:t>
          </a:r>
        </a:p>
      </xdr:txBody>
    </xdr:sp>
    <xdr:clientData/>
  </xdr:twoCellAnchor>
  <xdr:twoCellAnchor>
    <xdr:from>
      <xdr:col>0</xdr:col>
      <xdr:colOff>38098</xdr:colOff>
      <xdr:row>26</xdr:row>
      <xdr:rowOff>9525</xdr:rowOff>
    </xdr:from>
    <xdr:to>
      <xdr:col>2</xdr:col>
      <xdr:colOff>628649</xdr:colOff>
      <xdr:row>26</xdr:row>
      <xdr:rowOff>171450</xdr:rowOff>
    </xdr:to>
    <xdr:sp macro="" textlink="">
      <xdr:nvSpPr>
        <xdr:cNvPr id="19" name="Rectangle 18"/>
        <xdr:cNvSpPr/>
      </xdr:nvSpPr>
      <xdr:spPr>
        <a:xfrm>
          <a:off x="38098" y="5505450"/>
          <a:ext cx="1790701" cy="1619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=SUMIF(B6:B19,B6,D6:D19)</a:t>
          </a:r>
        </a:p>
      </xdr:txBody>
    </xdr:sp>
    <xdr:clientData/>
  </xdr:twoCellAnchor>
  <xdr:twoCellAnchor>
    <xdr:from>
      <xdr:col>1</xdr:col>
      <xdr:colOff>923924</xdr:colOff>
      <xdr:row>24</xdr:row>
      <xdr:rowOff>247650</xdr:rowOff>
    </xdr:from>
    <xdr:to>
      <xdr:col>3</xdr:col>
      <xdr:colOff>76199</xdr:colOff>
      <xdr:row>25</xdr:row>
      <xdr:rowOff>152400</xdr:rowOff>
    </xdr:to>
    <xdr:sp macro="" textlink="">
      <xdr:nvSpPr>
        <xdr:cNvPr id="20" name="Rectangle 19"/>
        <xdr:cNvSpPr/>
      </xdr:nvSpPr>
      <xdr:spPr>
        <a:xfrm>
          <a:off x="1247774" y="5257800"/>
          <a:ext cx="208597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=SUMIF(B6:B19,B6,F6:F19)</a:t>
          </a:r>
        </a:p>
      </xdr:txBody>
    </xdr:sp>
    <xdr:clientData/>
  </xdr:twoCellAnchor>
  <xdr:twoCellAnchor>
    <xdr:from>
      <xdr:col>5</xdr:col>
      <xdr:colOff>1343024</xdr:colOff>
      <xdr:row>24</xdr:row>
      <xdr:rowOff>285750</xdr:rowOff>
    </xdr:from>
    <xdr:to>
      <xdr:col>8</xdr:col>
      <xdr:colOff>9524</xdr:colOff>
      <xdr:row>25</xdr:row>
      <xdr:rowOff>180975</xdr:rowOff>
    </xdr:to>
    <xdr:sp macro="" textlink="">
      <xdr:nvSpPr>
        <xdr:cNvPr id="22" name="Rectangle 21"/>
        <xdr:cNvSpPr/>
      </xdr:nvSpPr>
      <xdr:spPr>
        <a:xfrm>
          <a:off x="6276974" y="5295900"/>
          <a:ext cx="1933575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=SUMIF(B6:B19,B6,H6:H19)</a:t>
          </a:r>
        </a:p>
      </xdr:txBody>
    </xdr:sp>
    <xdr:clientData/>
  </xdr:twoCellAnchor>
  <xdr:twoCellAnchor>
    <xdr:from>
      <xdr:col>1</xdr:col>
      <xdr:colOff>695325</xdr:colOff>
      <xdr:row>27</xdr:row>
      <xdr:rowOff>28575</xdr:rowOff>
    </xdr:from>
    <xdr:to>
      <xdr:col>2</xdr:col>
      <xdr:colOff>323850</xdr:colOff>
      <xdr:row>28</xdr:row>
      <xdr:rowOff>76200</xdr:rowOff>
    </xdr:to>
    <xdr:cxnSp macro="">
      <xdr:nvCxnSpPr>
        <xdr:cNvPr id="7" name="Straight Arrow Connector 6"/>
        <xdr:cNvCxnSpPr/>
      </xdr:nvCxnSpPr>
      <xdr:spPr>
        <a:xfrm>
          <a:off x="1019175" y="5715000"/>
          <a:ext cx="504825" cy="619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647700</xdr:colOff>
      <xdr:row>25</xdr:row>
      <xdr:rowOff>180975</xdr:rowOff>
    </xdr:from>
    <xdr:to>
      <xdr:col>3</xdr:col>
      <xdr:colOff>219075</xdr:colOff>
      <xdr:row>28</xdr:row>
      <xdr:rowOff>133350</xdr:rowOff>
    </xdr:to>
    <xdr:cxnSp macro="">
      <xdr:nvCxnSpPr>
        <xdr:cNvPr id="11" name="Straight Arrow Connector 10"/>
        <xdr:cNvCxnSpPr/>
      </xdr:nvCxnSpPr>
      <xdr:spPr>
        <a:xfrm>
          <a:off x="1847850" y="5486400"/>
          <a:ext cx="609600" cy="9048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295275</xdr:colOff>
      <xdr:row>26</xdr:row>
      <xdr:rowOff>180975</xdr:rowOff>
    </xdr:from>
    <xdr:to>
      <xdr:col>5</xdr:col>
      <xdr:colOff>180975</xdr:colOff>
      <xdr:row>28</xdr:row>
      <xdr:rowOff>57150</xdr:rowOff>
    </xdr:to>
    <xdr:cxnSp macro="">
      <xdr:nvCxnSpPr>
        <xdr:cNvPr id="16" name="Straight Arrow Connector 15"/>
        <xdr:cNvCxnSpPr/>
      </xdr:nvCxnSpPr>
      <xdr:spPr>
        <a:xfrm>
          <a:off x="3257550" y="5676900"/>
          <a:ext cx="476250" cy="6381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26</xdr:row>
      <xdr:rowOff>9525</xdr:rowOff>
    </xdr:from>
    <xdr:to>
      <xdr:col>6</xdr:col>
      <xdr:colOff>476250</xdr:colOff>
      <xdr:row>28</xdr:row>
      <xdr:rowOff>123825</xdr:rowOff>
    </xdr:to>
    <xdr:cxnSp macro="">
      <xdr:nvCxnSpPr>
        <xdr:cNvPr id="23" name="Straight Arrow Connector 22"/>
        <xdr:cNvCxnSpPr/>
      </xdr:nvCxnSpPr>
      <xdr:spPr>
        <a:xfrm>
          <a:off x="4914900" y="5505450"/>
          <a:ext cx="400050" cy="8763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28</xdr:row>
      <xdr:rowOff>28575</xdr:rowOff>
    </xdr:from>
    <xdr:to>
      <xdr:col>2</xdr:col>
      <xdr:colOff>323850</xdr:colOff>
      <xdr:row>29</xdr:row>
      <xdr:rowOff>76200</xdr:rowOff>
    </xdr:to>
    <xdr:cxnSp macro="">
      <xdr:nvCxnSpPr>
        <xdr:cNvPr id="27" name="Straight Arrow Connector 26"/>
        <xdr:cNvCxnSpPr/>
      </xdr:nvCxnSpPr>
      <xdr:spPr>
        <a:xfrm>
          <a:off x="1019175" y="5715000"/>
          <a:ext cx="504825" cy="619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29</xdr:row>
      <xdr:rowOff>28575</xdr:rowOff>
    </xdr:from>
    <xdr:to>
      <xdr:col>2</xdr:col>
      <xdr:colOff>323850</xdr:colOff>
      <xdr:row>30</xdr:row>
      <xdr:rowOff>76200</xdr:rowOff>
    </xdr:to>
    <xdr:cxnSp macro="">
      <xdr:nvCxnSpPr>
        <xdr:cNvPr id="28" name="Straight Arrow Connector 27"/>
        <xdr:cNvCxnSpPr/>
      </xdr:nvCxnSpPr>
      <xdr:spPr>
        <a:xfrm>
          <a:off x="1019175" y="5715000"/>
          <a:ext cx="504825" cy="619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30</xdr:row>
      <xdr:rowOff>28575</xdr:rowOff>
    </xdr:from>
    <xdr:to>
      <xdr:col>2</xdr:col>
      <xdr:colOff>323850</xdr:colOff>
      <xdr:row>31</xdr:row>
      <xdr:rowOff>76200</xdr:rowOff>
    </xdr:to>
    <xdr:cxnSp macro="">
      <xdr:nvCxnSpPr>
        <xdr:cNvPr id="29" name="Straight Arrow Connector 28"/>
        <xdr:cNvCxnSpPr/>
      </xdr:nvCxnSpPr>
      <xdr:spPr>
        <a:xfrm>
          <a:off x="1019175" y="6286500"/>
          <a:ext cx="5048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30</xdr:row>
      <xdr:rowOff>28575</xdr:rowOff>
    </xdr:from>
    <xdr:to>
      <xdr:col>2</xdr:col>
      <xdr:colOff>323850</xdr:colOff>
      <xdr:row>31</xdr:row>
      <xdr:rowOff>76200</xdr:rowOff>
    </xdr:to>
    <xdr:cxnSp macro="">
      <xdr:nvCxnSpPr>
        <xdr:cNvPr id="30" name="Straight Arrow Connector 29"/>
        <xdr:cNvCxnSpPr/>
      </xdr:nvCxnSpPr>
      <xdr:spPr>
        <a:xfrm>
          <a:off x="1019175" y="5715000"/>
          <a:ext cx="504825" cy="619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31</xdr:row>
      <xdr:rowOff>28575</xdr:rowOff>
    </xdr:from>
    <xdr:to>
      <xdr:col>2</xdr:col>
      <xdr:colOff>323850</xdr:colOff>
      <xdr:row>32</xdr:row>
      <xdr:rowOff>76200</xdr:rowOff>
    </xdr:to>
    <xdr:cxnSp macro="">
      <xdr:nvCxnSpPr>
        <xdr:cNvPr id="31" name="Straight Arrow Connector 30"/>
        <xdr:cNvCxnSpPr/>
      </xdr:nvCxnSpPr>
      <xdr:spPr>
        <a:xfrm>
          <a:off x="1019175" y="6286500"/>
          <a:ext cx="5048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31</xdr:row>
      <xdr:rowOff>28575</xdr:rowOff>
    </xdr:from>
    <xdr:to>
      <xdr:col>2</xdr:col>
      <xdr:colOff>323850</xdr:colOff>
      <xdr:row>32</xdr:row>
      <xdr:rowOff>76200</xdr:rowOff>
    </xdr:to>
    <xdr:cxnSp macro="">
      <xdr:nvCxnSpPr>
        <xdr:cNvPr id="32" name="Straight Arrow Connector 31"/>
        <xdr:cNvCxnSpPr/>
      </xdr:nvCxnSpPr>
      <xdr:spPr>
        <a:xfrm>
          <a:off x="1019175" y="5715000"/>
          <a:ext cx="504825" cy="619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32</xdr:row>
      <xdr:rowOff>28575</xdr:rowOff>
    </xdr:from>
    <xdr:to>
      <xdr:col>2</xdr:col>
      <xdr:colOff>323850</xdr:colOff>
      <xdr:row>33</xdr:row>
      <xdr:rowOff>76200</xdr:rowOff>
    </xdr:to>
    <xdr:cxnSp macro="">
      <xdr:nvCxnSpPr>
        <xdr:cNvPr id="33" name="Straight Arrow Connector 32"/>
        <xdr:cNvCxnSpPr/>
      </xdr:nvCxnSpPr>
      <xdr:spPr>
        <a:xfrm>
          <a:off x="1019175" y="6286500"/>
          <a:ext cx="5048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32</xdr:row>
      <xdr:rowOff>28575</xdr:rowOff>
    </xdr:from>
    <xdr:to>
      <xdr:col>2</xdr:col>
      <xdr:colOff>323850</xdr:colOff>
      <xdr:row>33</xdr:row>
      <xdr:rowOff>76200</xdr:rowOff>
    </xdr:to>
    <xdr:cxnSp macro="">
      <xdr:nvCxnSpPr>
        <xdr:cNvPr id="34" name="Straight Arrow Connector 33"/>
        <xdr:cNvCxnSpPr/>
      </xdr:nvCxnSpPr>
      <xdr:spPr>
        <a:xfrm>
          <a:off x="1019175" y="5715000"/>
          <a:ext cx="504825" cy="619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33</xdr:row>
      <xdr:rowOff>28575</xdr:rowOff>
    </xdr:from>
    <xdr:to>
      <xdr:col>2</xdr:col>
      <xdr:colOff>323850</xdr:colOff>
      <xdr:row>34</xdr:row>
      <xdr:rowOff>76200</xdr:rowOff>
    </xdr:to>
    <xdr:cxnSp macro="">
      <xdr:nvCxnSpPr>
        <xdr:cNvPr id="35" name="Straight Arrow Connector 34"/>
        <xdr:cNvCxnSpPr/>
      </xdr:nvCxnSpPr>
      <xdr:spPr>
        <a:xfrm>
          <a:off x="1019175" y="6286500"/>
          <a:ext cx="5048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28</xdr:row>
      <xdr:rowOff>28575</xdr:rowOff>
    </xdr:from>
    <xdr:to>
      <xdr:col>2</xdr:col>
      <xdr:colOff>323850</xdr:colOff>
      <xdr:row>29</xdr:row>
      <xdr:rowOff>76200</xdr:rowOff>
    </xdr:to>
    <xdr:cxnSp macro="">
      <xdr:nvCxnSpPr>
        <xdr:cNvPr id="36" name="Straight Arrow Connector 35"/>
        <xdr:cNvCxnSpPr/>
      </xdr:nvCxnSpPr>
      <xdr:spPr>
        <a:xfrm>
          <a:off x="1019175" y="5715000"/>
          <a:ext cx="504825" cy="619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29</xdr:row>
      <xdr:rowOff>28575</xdr:rowOff>
    </xdr:from>
    <xdr:to>
      <xdr:col>2</xdr:col>
      <xdr:colOff>323850</xdr:colOff>
      <xdr:row>30</xdr:row>
      <xdr:rowOff>76200</xdr:rowOff>
    </xdr:to>
    <xdr:cxnSp macro="">
      <xdr:nvCxnSpPr>
        <xdr:cNvPr id="37" name="Straight Arrow Connector 36"/>
        <xdr:cNvCxnSpPr/>
      </xdr:nvCxnSpPr>
      <xdr:spPr>
        <a:xfrm>
          <a:off x="1019175" y="6286500"/>
          <a:ext cx="5048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29</xdr:row>
      <xdr:rowOff>28575</xdr:rowOff>
    </xdr:from>
    <xdr:to>
      <xdr:col>2</xdr:col>
      <xdr:colOff>323850</xdr:colOff>
      <xdr:row>30</xdr:row>
      <xdr:rowOff>76200</xdr:rowOff>
    </xdr:to>
    <xdr:cxnSp macro="">
      <xdr:nvCxnSpPr>
        <xdr:cNvPr id="38" name="Straight Arrow Connector 37"/>
        <xdr:cNvCxnSpPr/>
      </xdr:nvCxnSpPr>
      <xdr:spPr>
        <a:xfrm>
          <a:off x="1019175" y="5715000"/>
          <a:ext cx="504825" cy="619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30</xdr:row>
      <xdr:rowOff>28575</xdr:rowOff>
    </xdr:from>
    <xdr:to>
      <xdr:col>2</xdr:col>
      <xdr:colOff>323850</xdr:colOff>
      <xdr:row>31</xdr:row>
      <xdr:rowOff>76200</xdr:rowOff>
    </xdr:to>
    <xdr:cxnSp macro="">
      <xdr:nvCxnSpPr>
        <xdr:cNvPr id="39" name="Straight Arrow Connector 38"/>
        <xdr:cNvCxnSpPr/>
      </xdr:nvCxnSpPr>
      <xdr:spPr>
        <a:xfrm>
          <a:off x="1019175" y="6286500"/>
          <a:ext cx="5048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30</xdr:row>
      <xdr:rowOff>28575</xdr:rowOff>
    </xdr:from>
    <xdr:to>
      <xdr:col>2</xdr:col>
      <xdr:colOff>323850</xdr:colOff>
      <xdr:row>31</xdr:row>
      <xdr:rowOff>76200</xdr:rowOff>
    </xdr:to>
    <xdr:cxnSp macro="">
      <xdr:nvCxnSpPr>
        <xdr:cNvPr id="40" name="Straight Arrow Connector 39"/>
        <xdr:cNvCxnSpPr/>
      </xdr:nvCxnSpPr>
      <xdr:spPr>
        <a:xfrm>
          <a:off x="1019175" y="6286500"/>
          <a:ext cx="5048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30</xdr:row>
      <xdr:rowOff>28575</xdr:rowOff>
    </xdr:from>
    <xdr:to>
      <xdr:col>2</xdr:col>
      <xdr:colOff>323850</xdr:colOff>
      <xdr:row>31</xdr:row>
      <xdr:rowOff>76200</xdr:rowOff>
    </xdr:to>
    <xdr:cxnSp macro="">
      <xdr:nvCxnSpPr>
        <xdr:cNvPr id="41" name="Straight Arrow Connector 40"/>
        <xdr:cNvCxnSpPr/>
      </xdr:nvCxnSpPr>
      <xdr:spPr>
        <a:xfrm>
          <a:off x="1019175" y="5715000"/>
          <a:ext cx="504825" cy="619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31</xdr:row>
      <xdr:rowOff>28575</xdr:rowOff>
    </xdr:from>
    <xdr:to>
      <xdr:col>2</xdr:col>
      <xdr:colOff>323850</xdr:colOff>
      <xdr:row>32</xdr:row>
      <xdr:rowOff>76200</xdr:rowOff>
    </xdr:to>
    <xdr:cxnSp macro="">
      <xdr:nvCxnSpPr>
        <xdr:cNvPr id="42" name="Straight Arrow Connector 41"/>
        <xdr:cNvCxnSpPr/>
      </xdr:nvCxnSpPr>
      <xdr:spPr>
        <a:xfrm>
          <a:off x="1019175" y="6286500"/>
          <a:ext cx="5048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31</xdr:row>
      <xdr:rowOff>28575</xdr:rowOff>
    </xdr:from>
    <xdr:to>
      <xdr:col>2</xdr:col>
      <xdr:colOff>323850</xdr:colOff>
      <xdr:row>32</xdr:row>
      <xdr:rowOff>76200</xdr:rowOff>
    </xdr:to>
    <xdr:cxnSp macro="">
      <xdr:nvCxnSpPr>
        <xdr:cNvPr id="43" name="Straight Arrow Connector 42"/>
        <xdr:cNvCxnSpPr/>
      </xdr:nvCxnSpPr>
      <xdr:spPr>
        <a:xfrm>
          <a:off x="1019175" y="6286500"/>
          <a:ext cx="5048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31</xdr:row>
      <xdr:rowOff>28575</xdr:rowOff>
    </xdr:from>
    <xdr:to>
      <xdr:col>2</xdr:col>
      <xdr:colOff>323850</xdr:colOff>
      <xdr:row>32</xdr:row>
      <xdr:rowOff>76200</xdr:rowOff>
    </xdr:to>
    <xdr:cxnSp macro="">
      <xdr:nvCxnSpPr>
        <xdr:cNvPr id="44" name="Straight Arrow Connector 43"/>
        <xdr:cNvCxnSpPr/>
      </xdr:nvCxnSpPr>
      <xdr:spPr>
        <a:xfrm>
          <a:off x="1019175" y="5715000"/>
          <a:ext cx="504825" cy="619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32</xdr:row>
      <xdr:rowOff>28575</xdr:rowOff>
    </xdr:from>
    <xdr:to>
      <xdr:col>2</xdr:col>
      <xdr:colOff>323850</xdr:colOff>
      <xdr:row>33</xdr:row>
      <xdr:rowOff>76200</xdr:rowOff>
    </xdr:to>
    <xdr:cxnSp macro="">
      <xdr:nvCxnSpPr>
        <xdr:cNvPr id="45" name="Straight Arrow Connector 44"/>
        <xdr:cNvCxnSpPr/>
      </xdr:nvCxnSpPr>
      <xdr:spPr>
        <a:xfrm>
          <a:off x="1019175" y="6286500"/>
          <a:ext cx="5048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32</xdr:row>
      <xdr:rowOff>28575</xdr:rowOff>
    </xdr:from>
    <xdr:to>
      <xdr:col>2</xdr:col>
      <xdr:colOff>323850</xdr:colOff>
      <xdr:row>33</xdr:row>
      <xdr:rowOff>76200</xdr:rowOff>
    </xdr:to>
    <xdr:cxnSp macro="">
      <xdr:nvCxnSpPr>
        <xdr:cNvPr id="46" name="Straight Arrow Connector 45"/>
        <xdr:cNvCxnSpPr/>
      </xdr:nvCxnSpPr>
      <xdr:spPr>
        <a:xfrm>
          <a:off x="1019175" y="6286500"/>
          <a:ext cx="5048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32</xdr:row>
      <xdr:rowOff>28575</xdr:rowOff>
    </xdr:from>
    <xdr:to>
      <xdr:col>2</xdr:col>
      <xdr:colOff>323850</xdr:colOff>
      <xdr:row>33</xdr:row>
      <xdr:rowOff>76200</xdr:rowOff>
    </xdr:to>
    <xdr:cxnSp macro="">
      <xdr:nvCxnSpPr>
        <xdr:cNvPr id="47" name="Straight Arrow Connector 46"/>
        <xdr:cNvCxnSpPr/>
      </xdr:nvCxnSpPr>
      <xdr:spPr>
        <a:xfrm>
          <a:off x="1019175" y="5715000"/>
          <a:ext cx="504825" cy="619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33</xdr:row>
      <xdr:rowOff>28575</xdr:rowOff>
    </xdr:from>
    <xdr:to>
      <xdr:col>2</xdr:col>
      <xdr:colOff>323850</xdr:colOff>
      <xdr:row>34</xdr:row>
      <xdr:rowOff>76200</xdr:rowOff>
    </xdr:to>
    <xdr:cxnSp macro="">
      <xdr:nvCxnSpPr>
        <xdr:cNvPr id="48" name="Straight Arrow Connector 47"/>
        <xdr:cNvCxnSpPr/>
      </xdr:nvCxnSpPr>
      <xdr:spPr>
        <a:xfrm>
          <a:off x="1019175" y="6286500"/>
          <a:ext cx="5048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33</xdr:row>
      <xdr:rowOff>28575</xdr:rowOff>
    </xdr:from>
    <xdr:to>
      <xdr:col>2</xdr:col>
      <xdr:colOff>323850</xdr:colOff>
      <xdr:row>34</xdr:row>
      <xdr:rowOff>76200</xdr:rowOff>
    </xdr:to>
    <xdr:cxnSp macro="">
      <xdr:nvCxnSpPr>
        <xdr:cNvPr id="49" name="Straight Arrow Connector 48"/>
        <xdr:cNvCxnSpPr/>
      </xdr:nvCxnSpPr>
      <xdr:spPr>
        <a:xfrm>
          <a:off x="1019175" y="6286500"/>
          <a:ext cx="5048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33</xdr:row>
      <xdr:rowOff>28575</xdr:rowOff>
    </xdr:from>
    <xdr:to>
      <xdr:col>2</xdr:col>
      <xdr:colOff>323850</xdr:colOff>
      <xdr:row>34</xdr:row>
      <xdr:rowOff>76200</xdr:rowOff>
    </xdr:to>
    <xdr:cxnSp macro="">
      <xdr:nvCxnSpPr>
        <xdr:cNvPr id="50" name="Straight Arrow Connector 49"/>
        <xdr:cNvCxnSpPr/>
      </xdr:nvCxnSpPr>
      <xdr:spPr>
        <a:xfrm>
          <a:off x="1019175" y="5715000"/>
          <a:ext cx="504825" cy="619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34</xdr:row>
      <xdr:rowOff>28575</xdr:rowOff>
    </xdr:from>
    <xdr:to>
      <xdr:col>2</xdr:col>
      <xdr:colOff>323850</xdr:colOff>
      <xdr:row>35</xdr:row>
      <xdr:rowOff>76200</xdr:rowOff>
    </xdr:to>
    <xdr:cxnSp macro="">
      <xdr:nvCxnSpPr>
        <xdr:cNvPr id="51" name="Straight Arrow Connector 50"/>
        <xdr:cNvCxnSpPr/>
      </xdr:nvCxnSpPr>
      <xdr:spPr>
        <a:xfrm>
          <a:off x="1019175" y="6286500"/>
          <a:ext cx="5048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34</xdr:row>
      <xdr:rowOff>28575</xdr:rowOff>
    </xdr:from>
    <xdr:to>
      <xdr:col>2</xdr:col>
      <xdr:colOff>323850</xdr:colOff>
      <xdr:row>35</xdr:row>
      <xdr:rowOff>76200</xdr:rowOff>
    </xdr:to>
    <xdr:cxnSp macro="">
      <xdr:nvCxnSpPr>
        <xdr:cNvPr id="52" name="Straight Arrow Connector 51"/>
        <xdr:cNvCxnSpPr/>
      </xdr:nvCxnSpPr>
      <xdr:spPr>
        <a:xfrm>
          <a:off x="1019175" y="6286500"/>
          <a:ext cx="5048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28</xdr:row>
      <xdr:rowOff>28575</xdr:rowOff>
    </xdr:from>
    <xdr:to>
      <xdr:col>2</xdr:col>
      <xdr:colOff>323850</xdr:colOff>
      <xdr:row>29</xdr:row>
      <xdr:rowOff>76200</xdr:rowOff>
    </xdr:to>
    <xdr:cxnSp macro="">
      <xdr:nvCxnSpPr>
        <xdr:cNvPr id="53" name="Straight Arrow Connector 52"/>
        <xdr:cNvCxnSpPr/>
      </xdr:nvCxnSpPr>
      <xdr:spPr>
        <a:xfrm>
          <a:off x="1019175" y="5715000"/>
          <a:ext cx="504825" cy="619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29</xdr:row>
      <xdr:rowOff>28575</xdr:rowOff>
    </xdr:from>
    <xdr:to>
      <xdr:col>2</xdr:col>
      <xdr:colOff>323850</xdr:colOff>
      <xdr:row>30</xdr:row>
      <xdr:rowOff>76200</xdr:rowOff>
    </xdr:to>
    <xdr:cxnSp macro="">
      <xdr:nvCxnSpPr>
        <xdr:cNvPr id="54" name="Straight Arrow Connector 53"/>
        <xdr:cNvCxnSpPr/>
      </xdr:nvCxnSpPr>
      <xdr:spPr>
        <a:xfrm>
          <a:off x="1019175" y="6286500"/>
          <a:ext cx="5048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29</xdr:row>
      <xdr:rowOff>28575</xdr:rowOff>
    </xdr:from>
    <xdr:to>
      <xdr:col>2</xdr:col>
      <xdr:colOff>323850</xdr:colOff>
      <xdr:row>30</xdr:row>
      <xdr:rowOff>76200</xdr:rowOff>
    </xdr:to>
    <xdr:cxnSp macro="">
      <xdr:nvCxnSpPr>
        <xdr:cNvPr id="55" name="Straight Arrow Connector 54"/>
        <xdr:cNvCxnSpPr/>
      </xdr:nvCxnSpPr>
      <xdr:spPr>
        <a:xfrm>
          <a:off x="1019175" y="6286500"/>
          <a:ext cx="5048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29</xdr:row>
      <xdr:rowOff>28575</xdr:rowOff>
    </xdr:from>
    <xdr:to>
      <xdr:col>2</xdr:col>
      <xdr:colOff>323850</xdr:colOff>
      <xdr:row>30</xdr:row>
      <xdr:rowOff>76200</xdr:rowOff>
    </xdr:to>
    <xdr:cxnSp macro="">
      <xdr:nvCxnSpPr>
        <xdr:cNvPr id="56" name="Straight Arrow Connector 55"/>
        <xdr:cNvCxnSpPr/>
      </xdr:nvCxnSpPr>
      <xdr:spPr>
        <a:xfrm>
          <a:off x="1019175" y="5715000"/>
          <a:ext cx="504825" cy="619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30</xdr:row>
      <xdr:rowOff>28575</xdr:rowOff>
    </xdr:from>
    <xdr:to>
      <xdr:col>2</xdr:col>
      <xdr:colOff>323850</xdr:colOff>
      <xdr:row>31</xdr:row>
      <xdr:rowOff>76200</xdr:rowOff>
    </xdr:to>
    <xdr:cxnSp macro="">
      <xdr:nvCxnSpPr>
        <xdr:cNvPr id="57" name="Straight Arrow Connector 56"/>
        <xdr:cNvCxnSpPr/>
      </xdr:nvCxnSpPr>
      <xdr:spPr>
        <a:xfrm>
          <a:off x="1019175" y="6286500"/>
          <a:ext cx="5048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30</xdr:row>
      <xdr:rowOff>28575</xdr:rowOff>
    </xdr:from>
    <xdr:to>
      <xdr:col>2</xdr:col>
      <xdr:colOff>323850</xdr:colOff>
      <xdr:row>31</xdr:row>
      <xdr:rowOff>76200</xdr:rowOff>
    </xdr:to>
    <xdr:cxnSp macro="">
      <xdr:nvCxnSpPr>
        <xdr:cNvPr id="58" name="Straight Arrow Connector 57"/>
        <xdr:cNvCxnSpPr/>
      </xdr:nvCxnSpPr>
      <xdr:spPr>
        <a:xfrm>
          <a:off x="1019175" y="6286500"/>
          <a:ext cx="5048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30</xdr:row>
      <xdr:rowOff>28575</xdr:rowOff>
    </xdr:from>
    <xdr:to>
      <xdr:col>2</xdr:col>
      <xdr:colOff>323850</xdr:colOff>
      <xdr:row>31</xdr:row>
      <xdr:rowOff>76200</xdr:rowOff>
    </xdr:to>
    <xdr:cxnSp macro="">
      <xdr:nvCxnSpPr>
        <xdr:cNvPr id="59" name="Straight Arrow Connector 58"/>
        <xdr:cNvCxnSpPr/>
      </xdr:nvCxnSpPr>
      <xdr:spPr>
        <a:xfrm>
          <a:off x="1019175" y="6286500"/>
          <a:ext cx="5048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30</xdr:row>
      <xdr:rowOff>28575</xdr:rowOff>
    </xdr:from>
    <xdr:to>
      <xdr:col>2</xdr:col>
      <xdr:colOff>323850</xdr:colOff>
      <xdr:row>31</xdr:row>
      <xdr:rowOff>76200</xdr:rowOff>
    </xdr:to>
    <xdr:cxnSp macro="">
      <xdr:nvCxnSpPr>
        <xdr:cNvPr id="60" name="Straight Arrow Connector 59"/>
        <xdr:cNvCxnSpPr/>
      </xdr:nvCxnSpPr>
      <xdr:spPr>
        <a:xfrm>
          <a:off x="1019175" y="5715000"/>
          <a:ext cx="504825" cy="619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31</xdr:row>
      <xdr:rowOff>28575</xdr:rowOff>
    </xdr:from>
    <xdr:to>
      <xdr:col>2</xdr:col>
      <xdr:colOff>323850</xdr:colOff>
      <xdr:row>32</xdr:row>
      <xdr:rowOff>76200</xdr:rowOff>
    </xdr:to>
    <xdr:cxnSp macro="">
      <xdr:nvCxnSpPr>
        <xdr:cNvPr id="61" name="Straight Arrow Connector 60"/>
        <xdr:cNvCxnSpPr/>
      </xdr:nvCxnSpPr>
      <xdr:spPr>
        <a:xfrm>
          <a:off x="1019175" y="6286500"/>
          <a:ext cx="5048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31</xdr:row>
      <xdr:rowOff>28575</xdr:rowOff>
    </xdr:from>
    <xdr:to>
      <xdr:col>2</xdr:col>
      <xdr:colOff>323850</xdr:colOff>
      <xdr:row>32</xdr:row>
      <xdr:rowOff>76200</xdr:rowOff>
    </xdr:to>
    <xdr:cxnSp macro="">
      <xdr:nvCxnSpPr>
        <xdr:cNvPr id="62" name="Straight Arrow Connector 61"/>
        <xdr:cNvCxnSpPr/>
      </xdr:nvCxnSpPr>
      <xdr:spPr>
        <a:xfrm>
          <a:off x="1019175" y="6286500"/>
          <a:ext cx="5048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31</xdr:row>
      <xdr:rowOff>28575</xdr:rowOff>
    </xdr:from>
    <xdr:to>
      <xdr:col>2</xdr:col>
      <xdr:colOff>323850</xdr:colOff>
      <xdr:row>32</xdr:row>
      <xdr:rowOff>76200</xdr:rowOff>
    </xdr:to>
    <xdr:cxnSp macro="">
      <xdr:nvCxnSpPr>
        <xdr:cNvPr id="63" name="Straight Arrow Connector 62"/>
        <xdr:cNvCxnSpPr/>
      </xdr:nvCxnSpPr>
      <xdr:spPr>
        <a:xfrm>
          <a:off x="1019175" y="6286500"/>
          <a:ext cx="5048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31</xdr:row>
      <xdr:rowOff>28575</xdr:rowOff>
    </xdr:from>
    <xdr:to>
      <xdr:col>2</xdr:col>
      <xdr:colOff>323850</xdr:colOff>
      <xdr:row>32</xdr:row>
      <xdr:rowOff>76200</xdr:rowOff>
    </xdr:to>
    <xdr:cxnSp macro="">
      <xdr:nvCxnSpPr>
        <xdr:cNvPr id="64" name="Straight Arrow Connector 63"/>
        <xdr:cNvCxnSpPr/>
      </xdr:nvCxnSpPr>
      <xdr:spPr>
        <a:xfrm>
          <a:off x="1019175" y="5715000"/>
          <a:ext cx="504825" cy="619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32</xdr:row>
      <xdr:rowOff>28575</xdr:rowOff>
    </xdr:from>
    <xdr:to>
      <xdr:col>2</xdr:col>
      <xdr:colOff>323850</xdr:colOff>
      <xdr:row>33</xdr:row>
      <xdr:rowOff>76200</xdr:rowOff>
    </xdr:to>
    <xdr:cxnSp macro="">
      <xdr:nvCxnSpPr>
        <xdr:cNvPr id="65" name="Straight Arrow Connector 64"/>
        <xdr:cNvCxnSpPr/>
      </xdr:nvCxnSpPr>
      <xdr:spPr>
        <a:xfrm>
          <a:off x="1019175" y="6286500"/>
          <a:ext cx="5048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32</xdr:row>
      <xdr:rowOff>28575</xdr:rowOff>
    </xdr:from>
    <xdr:to>
      <xdr:col>2</xdr:col>
      <xdr:colOff>323850</xdr:colOff>
      <xdr:row>33</xdr:row>
      <xdr:rowOff>76200</xdr:rowOff>
    </xdr:to>
    <xdr:cxnSp macro="">
      <xdr:nvCxnSpPr>
        <xdr:cNvPr id="66" name="Straight Arrow Connector 65"/>
        <xdr:cNvCxnSpPr/>
      </xdr:nvCxnSpPr>
      <xdr:spPr>
        <a:xfrm>
          <a:off x="1019175" y="6286500"/>
          <a:ext cx="5048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32</xdr:row>
      <xdr:rowOff>28575</xdr:rowOff>
    </xdr:from>
    <xdr:to>
      <xdr:col>2</xdr:col>
      <xdr:colOff>323850</xdr:colOff>
      <xdr:row>33</xdr:row>
      <xdr:rowOff>76200</xdr:rowOff>
    </xdr:to>
    <xdr:cxnSp macro="">
      <xdr:nvCxnSpPr>
        <xdr:cNvPr id="67" name="Straight Arrow Connector 66"/>
        <xdr:cNvCxnSpPr/>
      </xdr:nvCxnSpPr>
      <xdr:spPr>
        <a:xfrm>
          <a:off x="1019175" y="6286500"/>
          <a:ext cx="5048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32</xdr:row>
      <xdr:rowOff>28575</xdr:rowOff>
    </xdr:from>
    <xdr:to>
      <xdr:col>2</xdr:col>
      <xdr:colOff>323850</xdr:colOff>
      <xdr:row>33</xdr:row>
      <xdr:rowOff>76200</xdr:rowOff>
    </xdr:to>
    <xdr:cxnSp macro="">
      <xdr:nvCxnSpPr>
        <xdr:cNvPr id="68" name="Straight Arrow Connector 67"/>
        <xdr:cNvCxnSpPr/>
      </xdr:nvCxnSpPr>
      <xdr:spPr>
        <a:xfrm>
          <a:off x="1019175" y="5715000"/>
          <a:ext cx="504825" cy="619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33</xdr:row>
      <xdr:rowOff>28575</xdr:rowOff>
    </xdr:from>
    <xdr:to>
      <xdr:col>2</xdr:col>
      <xdr:colOff>323850</xdr:colOff>
      <xdr:row>34</xdr:row>
      <xdr:rowOff>76200</xdr:rowOff>
    </xdr:to>
    <xdr:cxnSp macro="">
      <xdr:nvCxnSpPr>
        <xdr:cNvPr id="69" name="Straight Arrow Connector 68"/>
        <xdr:cNvCxnSpPr/>
      </xdr:nvCxnSpPr>
      <xdr:spPr>
        <a:xfrm>
          <a:off x="1019175" y="6286500"/>
          <a:ext cx="5048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33</xdr:row>
      <xdr:rowOff>28575</xdr:rowOff>
    </xdr:from>
    <xdr:to>
      <xdr:col>2</xdr:col>
      <xdr:colOff>323850</xdr:colOff>
      <xdr:row>34</xdr:row>
      <xdr:rowOff>76200</xdr:rowOff>
    </xdr:to>
    <xdr:cxnSp macro="">
      <xdr:nvCxnSpPr>
        <xdr:cNvPr id="70" name="Straight Arrow Connector 69"/>
        <xdr:cNvCxnSpPr/>
      </xdr:nvCxnSpPr>
      <xdr:spPr>
        <a:xfrm>
          <a:off x="1019175" y="6286500"/>
          <a:ext cx="5048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33</xdr:row>
      <xdr:rowOff>28575</xdr:rowOff>
    </xdr:from>
    <xdr:to>
      <xdr:col>2</xdr:col>
      <xdr:colOff>323850</xdr:colOff>
      <xdr:row>34</xdr:row>
      <xdr:rowOff>76200</xdr:rowOff>
    </xdr:to>
    <xdr:cxnSp macro="">
      <xdr:nvCxnSpPr>
        <xdr:cNvPr id="71" name="Straight Arrow Connector 70"/>
        <xdr:cNvCxnSpPr/>
      </xdr:nvCxnSpPr>
      <xdr:spPr>
        <a:xfrm>
          <a:off x="1019175" y="6286500"/>
          <a:ext cx="5048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33</xdr:row>
      <xdr:rowOff>28575</xdr:rowOff>
    </xdr:from>
    <xdr:to>
      <xdr:col>2</xdr:col>
      <xdr:colOff>323850</xdr:colOff>
      <xdr:row>34</xdr:row>
      <xdr:rowOff>76200</xdr:rowOff>
    </xdr:to>
    <xdr:cxnSp macro="">
      <xdr:nvCxnSpPr>
        <xdr:cNvPr id="72" name="Straight Arrow Connector 71"/>
        <xdr:cNvCxnSpPr/>
      </xdr:nvCxnSpPr>
      <xdr:spPr>
        <a:xfrm>
          <a:off x="1019175" y="5715000"/>
          <a:ext cx="504825" cy="619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34</xdr:row>
      <xdr:rowOff>28575</xdr:rowOff>
    </xdr:from>
    <xdr:to>
      <xdr:col>2</xdr:col>
      <xdr:colOff>323850</xdr:colOff>
      <xdr:row>35</xdr:row>
      <xdr:rowOff>76200</xdr:rowOff>
    </xdr:to>
    <xdr:cxnSp macro="">
      <xdr:nvCxnSpPr>
        <xdr:cNvPr id="73" name="Straight Arrow Connector 72"/>
        <xdr:cNvCxnSpPr/>
      </xdr:nvCxnSpPr>
      <xdr:spPr>
        <a:xfrm>
          <a:off x="1019175" y="6286500"/>
          <a:ext cx="5048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34</xdr:row>
      <xdr:rowOff>28575</xdr:rowOff>
    </xdr:from>
    <xdr:to>
      <xdr:col>2</xdr:col>
      <xdr:colOff>323850</xdr:colOff>
      <xdr:row>35</xdr:row>
      <xdr:rowOff>76200</xdr:rowOff>
    </xdr:to>
    <xdr:cxnSp macro="">
      <xdr:nvCxnSpPr>
        <xdr:cNvPr id="74" name="Straight Arrow Connector 73"/>
        <xdr:cNvCxnSpPr/>
      </xdr:nvCxnSpPr>
      <xdr:spPr>
        <a:xfrm>
          <a:off x="1019175" y="6286500"/>
          <a:ext cx="5048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34</xdr:row>
      <xdr:rowOff>28575</xdr:rowOff>
    </xdr:from>
    <xdr:to>
      <xdr:col>2</xdr:col>
      <xdr:colOff>323850</xdr:colOff>
      <xdr:row>35</xdr:row>
      <xdr:rowOff>76200</xdr:rowOff>
    </xdr:to>
    <xdr:cxnSp macro="">
      <xdr:nvCxnSpPr>
        <xdr:cNvPr id="75" name="Straight Arrow Connector 74"/>
        <xdr:cNvCxnSpPr/>
      </xdr:nvCxnSpPr>
      <xdr:spPr>
        <a:xfrm>
          <a:off x="1019175" y="6286500"/>
          <a:ext cx="5048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5</xdr:row>
      <xdr:rowOff>57149</xdr:rowOff>
    </xdr:from>
    <xdr:to>
      <xdr:col>7</xdr:col>
      <xdr:colOff>9525</xdr:colOff>
      <xdr:row>6</xdr:row>
      <xdr:rowOff>66674</xdr:rowOff>
    </xdr:to>
    <xdr:sp macro="" textlink="">
      <xdr:nvSpPr>
        <xdr:cNvPr id="2" name="Rectangle 1"/>
        <xdr:cNvSpPr/>
      </xdr:nvSpPr>
      <xdr:spPr>
        <a:xfrm>
          <a:off x="3819525" y="1114424"/>
          <a:ext cx="1057275" cy="200025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50" b="0" cap="none" spc="0">
              <a:ln>
                <a:noFill/>
              </a:ln>
              <a:solidFill>
                <a:schemeClr val="tx1"/>
              </a:solidFill>
              <a:effectLst/>
            </a:rPr>
            <a:t>=D10+E10+F10</a:t>
          </a:r>
        </a:p>
        <a:p>
          <a:pPr algn="l"/>
          <a:endParaRPr lang="en-US" sz="1050" b="0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10</xdr:col>
      <xdr:colOff>171450</xdr:colOff>
      <xdr:row>5</xdr:row>
      <xdr:rowOff>9525</xdr:rowOff>
    </xdr:from>
    <xdr:to>
      <xdr:col>10</xdr:col>
      <xdr:colOff>942975</xdr:colOff>
      <xdr:row>6</xdr:row>
      <xdr:rowOff>19050</xdr:rowOff>
    </xdr:to>
    <xdr:sp macro="" textlink="">
      <xdr:nvSpPr>
        <xdr:cNvPr id="3" name="Rectangle 2"/>
        <xdr:cNvSpPr/>
      </xdr:nvSpPr>
      <xdr:spPr>
        <a:xfrm>
          <a:off x="7296150" y="1066800"/>
          <a:ext cx="771525" cy="200025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50" b="0" cap="none" spc="0">
              <a:ln>
                <a:noFill/>
              </a:ln>
              <a:solidFill>
                <a:schemeClr val="tx1"/>
              </a:solidFill>
              <a:effectLst/>
            </a:rPr>
            <a:t>=J10*4000</a:t>
          </a:r>
        </a:p>
      </xdr:txBody>
    </xdr:sp>
    <xdr:clientData/>
  </xdr:twoCellAnchor>
  <xdr:twoCellAnchor>
    <xdr:from>
      <xdr:col>9</xdr:col>
      <xdr:colOff>66675</xdr:colOff>
      <xdr:row>5</xdr:row>
      <xdr:rowOff>9525</xdr:rowOff>
    </xdr:from>
    <xdr:to>
      <xdr:col>10</xdr:col>
      <xdr:colOff>28575</xdr:colOff>
      <xdr:row>6</xdr:row>
      <xdr:rowOff>19050</xdr:rowOff>
    </xdr:to>
    <xdr:sp macro="" textlink="">
      <xdr:nvSpPr>
        <xdr:cNvPr id="4" name="Rectangle 3"/>
        <xdr:cNvSpPr/>
      </xdr:nvSpPr>
      <xdr:spPr>
        <a:xfrm>
          <a:off x="6391275" y="1066800"/>
          <a:ext cx="762000" cy="200025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50" b="0" cap="none" spc="0">
              <a:ln>
                <a:noFill/>
              </a:ln>
              <a:solidFill>
                <a:schemeClr val="tx1"/>
              </a:solidFill>
              <a:effectLst/>
            </a:rPr>
            <a:t>=H10-I10</a:t>
          </a:r>
        </a:p>
      </xdr:txBody>
    </xdr:sp>
    <xdr:clientData/>
  </xdr:twoCellAnchor>
  <xdr:twoCellAnchor>
    <xdr:from>
      <xdr:col>7</xdr:col>
      <xdr:colOff>142875</xdr:colOff>
      <xdr:row>5</xdr:row>
      <xdr:rowOff>47625</xdr:rowOff>
    </xdr:from>
    <xdr:to>
      <xdr:col>8</xdr:col>
      <xdr:colOff>123825</xdr:colOff>
      <xdr:row>6</xdr:row>
      <xdr:rowOff>57150</xdr:rowOff>
    </xdr:to>
    <xdr:sp macro="" textlink="">
      <xdr:nvSpPr>
        <xdr:cNvPr id="5" name="Rectangle 4"/>
        <xdr:cNvSpPr/>
      </xdr:nvSpPr>
      <xdr:spPr>
        <a:xfrm>
          <a:off x="5010150" y="1104900"/>
          <a:ext cx="733425" cy="200025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50" b="0" cap="none" spc="0">
              <a:ln>
                <a:noFill/>
              </a:ln>
              <a:solidFill>
                <a:schemeClr val="tx1"/>
              </a:solidFill>
              <a:effectLst/>
            </a:rPr>
            <a:t>=C10*G10</a:t>
          </a:r>
        </a:p>
      </xdr:txBody>
    </xdr:sp>
    <xdr:clientData/>
  </xdr:twoCellAnchor>
  <xdr:twoCellAnchor>
    <xdr:from>
      <xdr:col>3</xdr:col>
      <xdr:colOff>523875</xdr:colOff>
      <xdr:row>4</xdr:row>
      <xdr:rowOff>180975</xdr:rowOff>
    </xdr:from>
    <xdr:to>
      <xdr:col>5</xdr:col>
      <xdr:colOff>295275</xdr:colOff>
      <xdr:row>6</xdr:row>
      <xdr:rowOff>0</xdr:rowOff>
    </xdr:to>
    <xdr:sp macro="" textlink="">
      <xdr:nvSpPr>
        <xdr:cNvPr id="6" name="Rectangle 5"/>
        <xdr:cNvSpPr/>
      </xdr:nvSpPr>
      <xdr:spPr>
        <a:xfrm>
          <a:off x="2752725" y="1047750"/>
          <a:ext cx="933450" cy="200025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50" b="0" cap="none" spc="0">
              <a:ln>
                <a:noFill/>
              </a:ln>
              <a:solidFill>
                <a:schemeClr val="tx1"/>
              </a:solidFill>
              <a:effectLst/>
            </a:rPr>
            <a:t>=D10*20%</a:t>
          </a:r>
        </a:p>
      </xdr:txBody>
    </xdr:sp>
    <xdr:clientData/>
  </xdr:twoCellAnchor>
  <xdr:twoCellAnchor>
    <xdr:from>
      <xdr:col>2</xdr:col>
      <xdr:colOff>190500</xdr:colOff>
      <xdr:row>5</xdr:row>
      <xdr:rowOff>57150</xdr:rowOff>
    </xdr:from>
    <xdr:to>
      <xdr:col>3</xdr:col>
      <xdr:colOff>295275</xdr:colOff>
      <xdr:row>6</xdr:row>
      <xdr:rowOff>66675</xdr:rowOff>
    </xdr:to>
    <xdr:sp macro="" textlink="">
      <xdr:nvSpPr>
        <xdr:cNvPr id="7" name="Rectangle 6"/>
        <xdr:cNvSpPr/>
      </xdr:nvSpPr>
      <xdr:spPr>
        <a:xfrm>
          <a:off x="1743075" y="1114425"/>
          <a:ext cx="781050" cy="200025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50" b="0" cap="none" spc="0">
              <a:ln>
                <a:noFill/>
              </a:ln>
              <a:solidFill>
                <a:schemeClr val="tx1"/>
              </a:solidFill>
              <a:effectLst/>
            </a:rPr>
            <a:t>=D10*10%</a:t>
          </a:r>
        </a:p>
        <a:p>
          <a:pPr algn="l"/>
          <a:endParaRPr lang="en-US" sz="1050" b="0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4</xdr:col>
      <xdr:colOff>9525</xdr:colOff>
      <xdr:row>2</xdr:row>
      <xdr:rowOff>123824</xdr:rowOff>
    </xdr:from>
    <xdr:to>
      <xdr:col>10</xdr:col>
      <xdr:colOff>304800</xdr:colOff>
      <xdr:row>3</xdr:row>
      <xdr:rowOff>190499</xdr:rowOff>
    </xdr:to>
    <xdr:sp macro="" textlink="">
      <xdr:nvSpPr>
        <xdr:cNvPr id="8" name="Rectangle 7"/>
        <xdr:cNvSpPr/>
      </xdr:nvSpPr>
      <xdr:spPr>
        <a:xfrm>
          <a:off x="2847975" y="609599"/>
          <a:ext cx="4581525" cy="257175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50" b="0" cap="none" spc="0">
              <a:ln>
                <a:noFill/>
              </a:ln>
              <a:solidFill>
                <a:schemeClr val="tx1"/>
              </a:solidFill>
              <a:effectLst/>
            </a:rPr>
            <a:t>=IF(H10&lt;30000,H10*1%,IF(H10&lt;50000,H10*2%,IF(H10&gt;=50000,H10*3%)))</a:t>
          </a:r>
        </a:p>
      </xdr:txBody>
    </xdr:sp>
    <xdr:clientData/>
  </xdr:twoCellAnchor>
  <xdr:twoCellAnchor>
    <xdr:from>
      <xdr:col>11</xdr:col>
      <xdr:colOff>0</xdr:colOff>
      <xdr:row>5</xdr:row>
      <xdr:rowOff>28575</xdr:rowOff>
    </xdr:from>
    <xdr:to>
      <xdr:col>11</xdr:col>
      <xdr:colOff>790575</xdr:colOff>
      <xdr:row>6</xdr:row>
      <xdr:rowOff>38100</xdr:rowOff>
    </xdr:to>
    <xdr:sp macro="" textlink="">
      <xdr:nvSpPr>
        <xdr:cNvPr id="9" name="Rectangle 8"/>
        <xdr:cNvSpPr/>
      </xdr:nvSpPr>
      <xdr:spPr>
        <a:xfrm>
          <a:off x="8210550" y="1085850"/>
          <a:ext cx="790575" cy="200025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50" b="0" cap="none" spc="0">
              <a:ln>
                <a:noFill/>
              </a:ln>
              <a:solidFill>
                <a:schemeClr val="tx1"/>
              </a:solidFill>
              <a:effectLst/>
            </a:rPr>
            <a:t>=J10*40</a:t>
          </a:r>
        </a:p>
      </xdr:txBody>
    </xdr:sp>
    <xdr:clientData/>
  </xdr:twoCellAnchor>
  <xdr:twoCellAnchor>
    <xdr:from>
      <xdr:col>2</xdr:col>
      <xdr:colOff>619125</xdr:colOff>
      <xdr:row>6</xdr:row>
      <xdr:rowOff>95250</xdr:rowOff>
    </xdr:from>
    <xdr:to>
      <xdr:col>4</xdr:col>
      <xdr:colOff>66675</xdr:colOff>
      <xdr:row>9</xdr:row>
      <xdr:rowOff>95250</xdr:rowOff>
    </xdr:to>
    <xdr:cxnSp macro="">
      <xdr:nvCxnSpPr>
        <xdr:cNvPr id="11" name="Straight Arrow Connector 10"/>
        <xdr:cNvCxnSpPr/>
      </xdr:nvCxnSpPr>
      <xdr:spPr>
        <a:xfrm>
          <a:off x="2171700" y="1343025"/>
          <a:ext cx="733425" cy="5715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228600</xdr:colOff>
      <xdr:row>6</xdr:row>
      <xdr:rowOff>19050</xdr:rowOff>
    </xdr:from>
    <xdr:to>
      <xdr:col>5</xdr:col>
      <xdr:colOff>171450</xdr:colOff>
      <xdr:row>9</xdr:row>
      <xdr:rowOff>104775</xdr:rowOff>
    </xdr:to>
    <xdr:cxnSp macro="">
      <xdr:nvCxnSpPr>
        <xdr:cNvPr id="13" name="Straight Arrow Connector 12"/>
        <xdr:cNvCxnSpPr/>
      </xdr:nvCxnSpPr>
      <xdr:spPr>
        <a:xfrm>
          <a:off x="3067050" y="1266825"/>
          <a:ext cx="495300" cy="6572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514351</xdr:colOff>
      <xdr:row>6</xdr:row>
      <xdr:rowOff>85725</xdr:rowOff>
    </xdr:from>
    <xdr:to>
      <xdr:col>6</xdr:col>
      <xdr:colOff>104775</xdr:colOff>
      <xdr:row>9</xdr:row>
      <xdr:rowOff>85725</xdr:rowOff>
    </xdr:to>
    <xdr:cxnSp macro="">
      <xdr:nvCxnSpPr>
        <xdr:cNvPr id="15" name="Straight Arrow Connector 14"/>
        <xdr:cNvCxnSpPr/>
      </xdr:nvCxnSpPr>
      <xdr:spPr>
        <a:xfrm>
          <a:off x="3905251" y="1333500"/>
          <a:ext cx="304799" cy="5715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6</xdr:row>
      <xdr:rowOff>47625</xdr:rowOff>
    </xdr:from>
    <xdr:to>
      <xdr:col>7</xdr:col>
      <xdr:colOff>219075</xdr:colOff>
      <xdr:row>9</xdr:row>
      <xdr:rowOff>57150</xdr:rowOff>
    </xdr:to>
    <xdr:cxnSp macro="">
      <xdr:nvCxnSpPr>
        <xdr:cNvPr id="17" name="Straight Arrow Connector 16"/>
        <xdr:cNvCxnSpPr/>
      </xdr:nvCxnSpPr>
      <xdr:spPr>
        <a:xfrm flipH="1">
          <a:off x="4943475" y="1295400"/>
          <a:ext cx="142875" cy="5810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152400</xdr:colOff>
      <xdr:row>6</xdr:row>
      <xdr:rowOff>38100</xdr:rowOff>
    </xdr:from>
    <xdr:to>
      <xdr:col>9</xdr:col>
      <xdr:colOff>228600</xdr:colOff>
      <xdr:row>9</xdr:row>
      <xdr:rowOff>66675</xdr:rowOff>
    </xdr:to>
    <xdr:cxnSp macro="">
      <xdr:nvCxnSpPr>
        <xdr:cNvPr id="19" name="Straight Arrow Connector 18"/>
        <xdr:cNvCxnSpPr/>
      </xdr:nvCxnSpPr>
      <xdr:spPr>
        <a:xfrm flipH="1">
          <a:off x="6477000" y="1285875"/>
          <a:ext cx="76200" cy="6000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6</xdr:row>
      <xdr:rowOff>28575</xdr:rowOff>
    </xdr:from>
    <xdr:to>
      <xdr:col>10</xdr:col>
      <xdr:colOff>247650</xdr:colOff>
      <xdr:row>9</xdr:row>
      <xdr:rowOff>76200</xdr:rowOff>
    </xdr:to>
    <xdr:cxnSp macro="">
      <xdr:nvCxnSpPr>
        <xdr:cNvPr id="21" name="Straight Arrow Connector 20"/>
        <xdr:cNvCxnSpPr/>
      </xdr:nvCxnSpPr>
      <xdr:spPr>
        <a:xfrm flipH="1">
          <a:off x="7181850" y="1276350"/>
          <a:ext cx="190500" cy="619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95250</xdr:colOff>
      <xdr:row>6</xdr:row>
      <xdr:rowOff>85725</xdr:rowOff>
    </xdr:from>
    <xdr:to>
      <xdr:col>11</xdr:col>
      <xdr:colOff>123825</xdr:colOff>
      <xdr:row>9</xdr:row>
      <xdr:rowOff>76200</xdr:rowOff>
    </xdr:to>
    <xdr:cxnSp macro="">
      <xdr:nvCxnSpPr>
        <xdr:cNvPr id="23" name="Straight Arrow Connector 22"/>
        <xdr:cNvCxnSpPr/>
      </xdr:nvCxnSpPr>
      <xdr:spPr>
        <a:xfrm flipH="1">
          <a:off x="8305800" y="1333500"/>
          <a:ext cx="28575" cy="5619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4</xdr:row>
      <xdr:rowOff>28575</xdr:rowOff>
    </xdr:from>
    <xdr:to>
      <xdr:col>8</xdr:col>
      <xdr:colOff>323850</xdr:colOff>
      <xdr:row>9</xdr:row>
      <xdr:rowOff>66675</xdr:rowOff>
    </xdr:to>
    <xdr:cxnSp macro="">
      <xdr:nvCxnSpPr>
        <xdr:cNvPr id="12" name="Straight Arrow Connector 11"/>
        <xdr:cNvCxnSpPr/>
      </xdr:nvCxnSpPr>
      <xdr:spPr>
        <a:xfrm flipH="1">
          <a:off x="5838825" y="895350"/>
          <a:ext cx="104775" cy="9906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66675</xdr:rowOff>
    </xdr:from>
    <xdr:ext cx="361950" cy="264560"/>
    <xdr:sp macro="" textlink="">
      <xdr:nvSpPr>
        <xdr:cNvPr id="6" name="TextBox 5"/>
        <xdr:cNvSpPr txBox="1"/>
      </xdr:nvSpPr>
      <xdr:spPr>
        <a:xfrm>
          <a:off x="0" y="838200"/>
          <a:ext cx="361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n-US" sz="1100"/>
            <a:t>N</a:t>
          </a:r>
          <a:r>
            <a:rPr lang="en-US" sz="1100" baseline="30000"/>
            <a:t>o</a:t>
          </a:r>
          <a:endParaRPr lang="en-US" sz="1100"/>
        </a:p>
      </xdr:txBody>
    </xdr:sp>
    <xdr:clientData/>
  </xdr:oneCellAnchor>
  <xdr:oneCellAnchor>
    <xdr:from>
      <xdr:col>0</xdr:col>
      <xdr:colOff>0</xdr:colOff>
      <xdr:row>22</xdr:row>
      <xdr:rowOff>190500</xdr:rowOff>
    </xdr:from>
    <xdr:ext cx="325345" cy="264560"/>
    <xdr:sp macro="" textlink="">
      <xdr:nvSpPr>
        <xdr:cNvPr id="7" name="TextBox 6"/>
        <xdr:cNvSpPr txBox="1"/>
      </xdr:nvSpPr>
      <xdr:spPr>
        <a:xfrm>
          <a:off x="0" y="4419600"/>
          <a:ext cx="3253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en-US" sz="1100"/>
            <a:t>N</a:t>
          </a:r>
          <a:r>
            <a:rPr lang="en-US" sz="1100" baseline="30000"/>
            <a:t>o</a:t>
          </a:r>
          <a:endParaRPr lang="en-US" sz="1100"/>
        </a:p>
      </xdr:txBody>
    </xdr:sp>
    <xdr:clientData/>
  </xdr:oneCellAnchor>
  <xdr:twoCellAnchor>
    <xdr:from>
      <xdr:col>11</xdr:col>
      <xdr:colOff>371475</xdr:colOff>
      <xdr:row>2</xdr:row>
      <xdr:rowOff>104775</xdr:rowOff>
    </xdr:from>
    <xdr:to>
      <xdr:col>12</xdr:col>
      <xdr:colOff>485775</xdr:colOff>
      <xdr:row>3</xdr:row>
      <xdr:rowOff>123825</xdr:rowOff>
    </xdr:to>
    <xdr:sp macro="" textlink="">
      <xdr:nvSpPr>
        <xdr:cNvPr id="9" name="Rectangle 8"/>
        <xdr:cNvSpPr/>
      </xdr:nvSpPr>
      <xdr:spPr>
        <a:xfrm>
          <a:off x="8515350" y="485775"/>
          <a:ext cx="1104900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00"/>
            <a:t>=AVERAGE(C7:I7)</a:t>
          </a:r>
        </a:p>
      </xdr:txBody>
    </xdr:sp>
    <xdr:clientData/>
  </xdr:twoCellAnchor>
  <xdr:twoCellAnchor>
    <xdr:from>
      <xdr:col>9</xdr:col>
      <xdr:colOff>95250</xdr:colOff>
      <xdr:row>2</xdr:row>
      <xdr:rowOff>133350</xdr:rowOff>
    </xdr:from>
    <xdr:to>
      <xdr:col>10</xdr:col>
      <xdr:colOff>0</xdr:colOff>
      <xdr:row>3</xdr:row>
      <xdr:rowOff>114300</xdr:rowOff>
    </xdr:to>
    <xdr:sp macro="" textlink="">
      <xdr:nvSpPr>
        <xdr:cNvPr id="10" name="Rectangle 9"/>
        <xdr:cNvSpPr/>
      </xdr:nvSpPr>
      <xdr:spPr>
        <a:xfrm>
          <a:off x="6600825" y="514350"/>
          <a:ext cx="885825" cy="1714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00"/>
            <a:t>=MAX(C7:I7)</a:t>
          </a:r>
        </a:p>
      </xdr:txBody>
    </xdr:sp>
    <xdr:clientData/>
  </xdr:twoCellAnchor>
  <xdr:twoCellAnchor>
    <xdr:from>
      <xdr:col>10</xdr:col>
      <xdr:colOff>57149</xdr:colOff>
      <xdr:row>2</xdr:row>
      <xdr:rowOff>142875</xdr:rowOff>
    </xdr:from>
    <xdr:to>
      <xdr:col>11</xdr:col>
      <xdr:colOff>257175</xdr:colOff>
      <xdr:row>3</xdr:row>
      <xdr:rowOff>123824</xdr:rowOff>
    </xdr:to>
    <xdr:sp macro="" textlink="">
      <xdr:nvSpPr>
        <xdr:cNvPr id="11" name="Rectangle 10"/>
        <xdr:cNvSpPr/>
      </xdr:nvSpPr>
      <xdr:spPr>
        <a:xfrm>
          <a:off x="7543799" y="523875"/>
          <a:ext cx="857251" cy="1714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00"/>
            <a:t>=MIN(C7:</a:t>
          </a:r>
          <a:r>
            <a:rPr lang="en-US" sz="1000" baseline="0"/>
            <a:t>I7)</a:t>
          </a:r>
          <a:endParaRPr lang="en-US" sz="1000"/>
        </a:p>
      </xdr:txBody>
    </xdr:sp>
    <xdr:clientData/>
  </xdr:twoCellAnchor>
  <xdr:twoCellAnchor>
    <xdr:from>
      <xdr:col>7</xdr:col>
      <xdr:colOff>581027</xdr:colOff>
      <xdr:row>2</xdr:row>
      <xdr:rowOff>133349</xdr:rowOff>
    </xdr:from>
    <xdr:to>
      <xdr:col>9</xdr:col>
      <xdr:colOff>38100</xdr:colOff>
      <xdr:row>3</xdr:row>
      <xdr:rowOff>123824</xdr:rowOff>
    </xdr:to>
    <xdr:sp macro="" textlink="">
      <xdr:nvSpPr>
        <xdr:cNvPr id="12" name="Rectangle 11"/>
        <xdr:cNvSpPr/>
      </xdr:nvSpPr>
      <xdr:spPr>
        <a:xfrm>
          <a:off x="5657852" y="514349"/>
          <a:ext cx="885823" cy="1809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00"/>
            <a:t>=SUM(C7:</a:t>
          </a:r>
          <a:r>
            <a:rPr lang="en-US" sz="1000" baseline="0"/>
            <a:t>I7)</a:t>
          </a:r>
          <a:endParaRPr lang="en-US" sz="1000"/>
        </a:p>
      </xdr:txBody>
    </xdr:sp>
    <xdr:clientData/>
  </xdr:twoCellAnchor>
  <xdr:twoCellAnchor>
    <xdr:from>
      <xdr:col>4</xdr:col>
      <xdr:colOff>495301</xdr:colOff>
      <xdr:row>20</xdr:row>
      <xdr:rowOff>123825</xdr:rowOff>
    </xdr:from>
    <xdr:to>
      <xdr:col>5</xdr:col>
      <xdr:colOff>581026</xdr:colOff>
      <xdr:row>21</xdr:row>
      <xdr:rowOff>85725</xdr:rowOff>
    </xdr:to>
    <xdr:sp macro="" textlink="">
      <xdr:nvSpPr>
        <xdr:cNvPr id="13" name="Rectangle 12"/>
        <xdr:cNvSpPr/>
      </xdr:nvSpPr>
      <xdr:spPr>
        <a:xfrm>
          <a:off x="3162301" y="3971925"/>
          <a:ext cx="800100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00"/>
            <a:t>=E24*4000</a:t>
          </a:r>
        </a:p>
      </xdr:txBody>
    </xdr:sp>
    <xdr:clientData/>
  </xdr:twoCellAnchor>
  <xdr:twoCellAnchor>
    <xdr:from>
      <xdr:col>6</xdr:col>
      <xdr:colOff>561975</xdr:colOff>
      <xdr:row>20</xdr:row>
      <xdr:rowOff>114300</xdr:rowOff>
    </xdr:from>
    <xdr:to>
      <xdr:col>7</xdr:col>
      <xdr:colOff>657225</xdr:colOff>
      <xdr:row>21</xdr:row>
      <xdr:rowOff>114300</xdr:rowOff>
    </xdr:to>
    <xdr:sp macro="" textlink="">
      <xdr:nvSpPr>
        <xdr:cNvPr id="14" name="Rectangle 13"/>
        <xdr:cNvSpPr/>
      </xdr:nvSpPr>
      <xdr:spPr>
        <a:xfrm>
          <a:off x="4924425" y="3962400"/>
          <a:ext cx="809625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00"/>
            <a:t>=G24*H24</a:t>
          </a:r>
        </a:p>
      </xdr:txBody>
    </xdr:sp>
    <xdr:clientData/>
  </xdr:twoCellAnchor>
  <xdr:twoCellAnchor>
    <xdr:from>
      <xdr:col>9</xdr:col>
      <xdr:colOff>266700</xdr:colOff>
      <xdr:row>20</xdr:row>
      <xdr:rowOff>142875</xdr:rowOff>
    </xdr:from>
    <xdr:to>
      <xdr:col>10</xdr:col>
      <xdr:colOff>209550</xdr:colOff>
      <xdr:row>21</xdr:row>
      <xdr:rowOff>114300</xdr:rowOff>
    </xdr:to>
    <xdr:sp macro="" textlink="">
      <xdr:nvSpPr>
        <xdr:cNvPr id="15" name="Rectangle 14"/>
        <xdr:cNvSpPr/>
      </xdr:nvSpPr>
      <xdr:spPr>
        <a:xfrm>
          <a:off x="6772275" y="3990975"/>
          <a:ext cx="923925" cy="1619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00"/>
            <a:t>=C24-G24</a:t>
          </a:r>
        </a:p>
      </xdr:txBody>
    </xdr:sp>
    <xdr:clientData/>
  </xdr:twoCellAnchor>
  <xdr:twoCellAnchor>
    <xdr:from>
      <xdr:col>10</xdr:col>
      <xdr:colOff>295276</xdr:colOff>
      <xdr:row>20</xdr:row>
      <xdr:rowOff>123825</xdr:rowOff>
    </xdr:from>
    <xdr:to>
      <xdr:col>11</xdr:col>
      <xdr:colOff>742950</xdr:colOff>
      <xdr:row>21</xdr:row>
      <xdr:rowOff>104775</xdr:rowOff>
    </xdr:to>
    <xdr:sp macro="" textlink="">
      <xdr:nvSpPr>
        <xdr:cNvPr id="16" name="Rectangle 15"/>
        <xdr:cNvSpPr/>
      </xdr:nvSpPr>
      <xdr:spPr>
        <a:xfrm>
          <a:off x="7781926" y="3971925"/>
          <a:ext cx="1104899" cy="1714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00"/>
            <a:t>=K24*H24*4000</a:t>
          </a:r>
        </a:p>
      </xdr:txBody>
    </xdr:sp>
    <xdr:clientData/>
  </xdr:twoCellAnchor>
  <xdr:twoCellAnchor>
    <xdr:from>
      <xdr:col>11</xdr:col>
      <xdr:colOff>819150</xdr:colOff>
      <xdr:row>20</xdr:row>
      <xdr:rowOff>104775</xdr:rowOff>
    </xdr:from>
    <xdr:to>
      <xdr:col>12</xdr:col>
      <xdr:colOff>609600</xdr:colOff>
      <xdr:row>21</xdr:row>
      <xdr:rowOff>85725</xdr:rowOff>
    </xdr:to>
    <xdr:sp macro="" textlink="">
      <xdr:nvSpPr>
        <xdr:cNvPr id="17" name="Rectangle 16"/>
        <xdr:cNvSpPr/>
      </xdr:nvSpPr>
      <xdr:spPr>
        <a:xfrm>
          <a:off x="8963025" y="3952875"/>
          <a:ext cx="781050" cy="1714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00"/>
            <a:t>=24*H24</a:t>
          </a:r>
        </a:p>
      </xdr:txBody>
    </xdr:sp>
    <xdr:clientData/>
  </xdr:twoCellAnchor>
  <xdr:twoCellAnchor>
    <xdr:from>
      <xdr:col>0</xdr:col>
      <xdr:colOff>219074</xdr:colOff>
      <xdr:row>32</xdr:row>
      <xdr:rowOff>171450</xdr:rowOff>
    </xdr:from>
    <xdr:to>
      <xdr:col>2</xdr:col>
      <xdr:colOff>571499</xdr:colOff>
      <xdr:row>33</xdr:row>
      <xdr:rowOff>133350</xdr:rowOff>
    </xdr:to>
    <xdr:sp macro="" textlink="">
      <xdr:nvSpPr>
        <xdr:cNvPr id="18" name="Rectangle 17"/>
        <xdr:cNvSpPr/>
      </xdr:nvSpPr>
      <xdr:spPr>
        <a:xfrm>
          <a:off x="219074" y="6305550"/>
          <a:ext cx="1571625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00"/>
            <a:t>=SUM(C24:C30)</a:t>
          </a:r>
        </a:p>
      </xdr:txBody>
    </xdr:sp>
    <xdr:clientData/>
  </xdr:twoCellAnchor>
  <xdr:twoCellAnchor>
    <xdr:from>
      <xdr:col>0</xdr:col>
      <xdr:colOff>323849</xdr:colOff>
      <xdr:row>17</xdr:row>
      <xdr:rowOff>180975</xdr:rowOff>
    </xdr:from>
    <xdr:to>
      <xdr:col>2</xdr:col>
      <xdr:colOff>352424</xdr:colOff>
      <xdr:row>18</xdr:row>
      <xdr:rowOff>180975</xdr:rowOff>
    </xdr:to>
    <xdr:sp macro="" textlink="">
      <xdr:nvSpPr>
        <xdr:cNvPr id="19" name="Rectangle 18"/>
        <xdr:cNvSpPr/>
      </xdr:nvSpPr>
      <xdr:spPr>
        <a:xfrm>
          <a:off x="323849" y="3448050"/>
          <a:ext cx="124777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00"/>
            <a:t>=SUM(C7:C16)</a:t>
          </a:r>
        </a:p>
      </xdr:txBody>
    </xdr:sp>
    <xdr:clientData/>
  </xdr:twoCellAnchor>
  <xdr:twoCellAnchor>
    <xdr:from>
      <xdr:col>3</xdr:col>
      <xdr:colOff>247650</xdr:colOff>
      <xdr:row>20</xdr:row>
      <xdr:rowOff>104775</xdr:rowOff>
    </xdr:from>
    <xdr:to>
      <xdr:col>4</xdr:col>
      <xdr:colOff>400050</xdr:colOff>
      <xdr:row>21</xdr:row>
      <xdr:rowOff>85724</xdr:rowOff>
    </xdr:to>
    <xdr:sp macro="" textlink="">
      <xdr:nvSpPr>
        <xdr:cNvPr id="20" name="Rectangle 19"/>
        <xdr:cNvSpPr/>
      </xdr:nvSpPr>
      <xdr:spPr>
        <a:xfrm>
          <a:off x="2209800" y="3952875"/>
          <a:ext cx="857250" cy="1714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00"/>
            <a:t>=C24*D24</a:t>
          </a:r>
        </a:p>
      </xdr:txBody>
    </xdr:sp>
    <xdr:clientData/>
  </xdr:twoCellAnchor>
  <xdr:twoCellAnchor>
    <xdr:from>
      <xdr:col>8</xdr:col>
      <xdr:colOff>28575</xdr:colOff>
      <xdr:row>20</xdr:row>
      <xdr:rowOff>123825</xdr:rowOff>
    </xdr:from>
    <xdr:to>
      <xdr:col>9</xdr:col>
      <xdr:colOff>190500</xdr:colOff>
      <xdr:row>21</xdr:row>
      <xdr:rowOff>104775</xdr:rowOff>
    </xdr:to>
    <xdr:sp macro="" textlink="">
      <xdr:nvSpPr>
        <xdr:cNvPr id="21" name="Rectangle 20"/>
        <xdr:cNvSpPr/>
      </xdr:nvSpPr>
      <xdr:spPr>
        <a:xfrm>
          <a:off x="5819775" y="3971925"/>
          <a:ext cx="876300" cy="1714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00"/>
            <a:t>=I24*4000</a:t>
          </a:r>
        </a:p>
      </xdr:txBody>
    </xdr:sp>
    <xdr:clientData/>
  </xdr:twoCellAnchor>
  <xdr:twoCellAnchor>
    <xdr:from>
      <xdr:col>1</xdr:col>
      <xdr:colOff>847725</xdr:colOff>
      <xdr:row>16</xdr:row>
      <xdr:rowOff>76200</xdr:rowOff>
    </xdr:from>
    <xdr:to>
      <xdr:col>2</xdr:col>
      <xdr:colOff>152400</xdr:colOff>
      <xdr:row>17</xdr:row>
      <xdr:rowOff>161925</xdr:rowOff>
    </xdr:to>
    <xdr:cxnSp macro="">
      <xdr:nvCxnSpPr>
        <xdr:cNvPr id="23" name="Straight Arrow Connector 22"/>
        <xdr:cNvCxnSpPr/>
      </xdr:nvCxnSpPr>
      <xdr:spPr>
        <a:xfrm flipV="1">
          <a:off x="1200150" y="3143250"/>
          <a:ext cx="171450" cy="2857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676275</xdr:colOff>
      <xdr:row>21</xdr:row>
      <xdr:rowOff>85724</xdr:rowOff>
    </xdr:from>
    <xdr:to>
      <xdr:col>4</xdr:col>
      <xdr:colOff>581025</xdr:colOff>
      <xdr:row>24</xdr:row>
      <xdr:rowOff>66675</xdr:rowOff>
    </xdr:to>
    <xdr:cxnSp macro="">
      <xdr:nvCxnSpPr>
        <xdr:cNvPr id="27" name="Straight Arrow Connector 26"/>
        <xdr:cNvCxnSpPr>
          <a:stCxn id="20" idx="2"/>
        </xdr:cNvCxnSpPr>
      </xdr:nvCxnSpPr>
      <xdr:spPr>
        <a:xfrm>
          <a:off x="2638425" y="4124324"/>
          <a:ext cx="609600" cy="55245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276225</xdr:colOff>
      <xdr:row>21</xdr:row>
      <xdr:rowOff>85725</xdr:rowOff>
    </xdr:from>
    <xdr:to>
      <xdr:col>6</xdr:col>
      <xdr:colOff>85725</xdr:colOff>
      <xdr:row>24</xdr:row>
      <xdr:rowOff>57150</xdr:rowOff>
    </xdr:to>
    <xdr:cxnSp macro="">
      <xdr:nvCxnSpPr>
        <xdr:cNvPr id="29" name="Straight Arrow Connector 28"/>
        <xdr:cNvCxnSpPr/>
      </xdr:nvCxnSpPr>
      <xdr:spPr>
        <a:xfrm>
          <a:off x="3657600" y="4124325"/>
          <a:ext cx="790575" cy="5429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</xdr:colOff>
      <xdr:row>21</xdr:row>
      <xdr:rowOff>114300</xdr:rowOff>
    </xdr:from>
    <xdr:to>
      <xdr:col>7</xdr:col>
      <xdr:colOff>190500</xdr:colOff>
      <xdr:row>24</xdr:row>
      <xdr:rowOff>104775</xdr:rowOff>
    </xdr:to>
    <xdr:cxnSp macro="">
      <xdr:nvCxnSpPr>
        <xdr:cNvPr id="31" name="Straight Arrow Connector 30"/>
        <xdr:cNvCxnSpPr/>
      </xdr:nvCxnSpPr>
      <xdr:spPr>
        <a:xfrm>
          <a:off x="5124450" y="4152900"/>
          <a:ext cx="142875" cy="5619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21</xdr:row>
      <xdr:rowOff>114300</xdr:rowOff>
    </xdr:from>
    <xdr:to>
      <xdr:col>8</xdr:col>
      <xdr:colOff>457200</xdr:colOff>
      <xdr:row>24</xdr:row>
      <xdr:rowOff>28575</xdr:rowOff>
    </xdr:to>
    <xdr:cxnSp macro="">
      <xdr:nvCxnSpPr>
        <xdr:cNvPr id="33" name="Straight Arrow Connector 32"/>
        <xdr:cNvCxnSpPr/>
      </xdr:nvCxnSpPr>
      <xdr:spPr>
        <a:xfrm>
          <a:off x="6000750" y="4152900"/>
          <a:ext cx="247650" cy="4857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657225</xdr:colOff>
      <xdr:row>21</xdr:row>
      <xdr:rowOff>104775</xdr:rowOff>
    </xdr:from>
    <xdr:to>
      <xdr:col>9</xdr:col>
      <xdr:colOff>742950</xdr:colOff>
      <xdr:row>24</xdr:row>
      <xdr:rowOff>76200</xdr:rowOff>
    </xdr:to>
    <xdr:cxnSp macro="">
      <xdr:nvCxnSpPr>
        <xdr:cNvPr id="35" name="Straight Arrow Connector 34"/>
        <xdr:cNvCxnSpPr/>
      </xdr:nvCxnSpPr>
      <xdr:spPr>
        <a:xfrm>
          <a:off x="7162800" y="4143375"/>
          <a:ext cx="85725" cy="5429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190501</xdr:colOff>
      <xdr:row>21</xdr:row>
      <xdr:rowOff>104775</xdr:rowOff>
    </xdr:from>
    <xdr:to>
      <xdr:col>11</xdr:col>
      <xdr:colOff>390525</xdr:colOff>
      <xdr:row>24</xdr:row>
      <xdr:rowOff>19050</xdr:rowOff>
    </xdr:to>
    <xdr:cxnSp macro="">
      <xdr:nvCxnSpPr>
        <xdr:cNvPr id="37" name="Straight Arrow Connector 36"/>
        <xdr:cNvCxnSpPr>
          <a:stCxn id="16" idx="2"/>
        </xdr:cNvCxnSpPr>
      </xdr:nvCxnSpPr>
      <xdr:spPr>
        <a:xfrm>
          <a:off x="8334376" y="4143375"/>
          <a:ext cx="200024" cy="4857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923925</xdr:colOff>
      <xdr:row>21</xdr:row>
      <xdr:rowOff>104775</xdr:rowOff>
    </xdr:from>
    <xdr:to>
      <xdr:col>12</xdr:col>
      <xdr:colOff>114300</xdr:colOff>
      <xdr:row>24</xdr:row>
      <xdr:rowOff>0</xdr:rowOff>
    </xdr:to>
    <xdr:cxnSp macro="">
      <xdr:nvCxnSpPr>
        <xdr:cNvPr id="39" name="Straight Arrow Connector 38"/>
        <xdr:cNvCxnSpPr/>
      </xdr:nvCxnSpPr>
      <xdr:spPr>
        <a:xfrm>
          <a:off x="9067800" y="4143375"/>
          <a:ext cx="180975" cy="4667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92594</xdr:rowOff>
    </xdr:from>
    <xdr:ext cx="5486400" cy="841192"/>
    <xdr:sp macro="" textlink="">
      <xdr:nvSpPr>
        <xdr:cNvPr id="2" name="TextBox 1"/>
        <xdr:cNvSpPr txBox="1"/>
      </xdr:nvSpPr>
      <xdr:spPr>
        <a:xfrm>
          <a:off x="0" y="283094"/>
          <a:ext cx="5486400" cy="841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km-KH" sz="3200">
              <a:latin typeface="Khmer OS Muol Light" panose="02000500000000020004" pitchFamily="2" charset="0"/>
              <a:cs typeface="Khmer OS Muol Light" panose="02000500000000020004" pitchFamily="2" charset="0"/>
            </a:rPr>
            <a:t>បញ្ជីរាយនាមសិស្សប្រលង</a:t>
          </a:r>
          <a:endParaRPr lang="en-US" sz="3200">
            <a:latin typeface="Khmer OS Muol Light" panose="02000500000000020004" pitchFamily="2" charset="0"/>
            <a:cs typeface="Khmer OS Muol Light" panose="02000500000000020004" pitchFamily="2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476250</xdr:colOff>
      <xdr:row>0</xdr:row>
      <xdr:rowOff>0</xdr:rowOff>
    </xdr:from>
    <xdr:ext cx="5085246" cy="781111"/>
    <xdr:sp macro="" textlink="">
      <xdr:nvSpPr>
        <xdr:cNvPr id="2" name="TextBox 1"/>
        <xdr:cNvSpPr txBox="1"/>
      </xdr:nvSpPr>
      <xdr:spPr>
        <a:xfrm>
          <a:off x="1733550" y="0"/>
          <a:ext cx="5085246" cy="781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4400" b="1" i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New</a:t>
          </a:r>
          <a:r>
            <a:rPr lang="en-US" sz="4400" b="1" i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standing salary</a:t>
          </a:r>
          <a:endParaRPr lang="en-US" sz="4400" b="1" i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0</xdr:col>
      <xdr:colOff>285750</xdr:colOff>
      <xdr:row>23</xdr:row>
      <xdr:rowOff>38100</xdr:rowOff>
    </xdr:from>
    <xdr:to>
      <xdr:col>3</xdr:col>
      <xdr:colOff>9525</xdr:colOff>
      <xdr:row>24</xdr:row>
      <xdr:rowOff>104775</xdr:rowOff>
    </xdr:to>
    <xdr:sp macro="" textlink="">
      <xdr:nvSpPr>
        <xdr:cNvPr id="3" name="Rectangle 2"/>
        <xdr:cNvSpPr/>
      </xdr:nvSpPr>
      <xdr:spPr>
        <a:xfrm>
          <a:off x="285750" y="4419600"/>
          <a:ext cx="1781175" cy="25717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=VLOOKUP(A23,A8:J18,4</a:t>
          </a:r>
        </a:p>
      </xdr:txBody>
    </xdr:sp>
    <xdr:clientData/>
  </xdr:twoCellAnchor>
  <xdr:twoCellAnchor>
    <xdr:from>
      <xdr:col>1</xdr:col>
      <xdr:colOff>800100</xdr:colOff>
      <xdr:row>21</xdr:row>
      <xdr:rowOff>152400</xdr:rowOff>
    </xdr:from>
    <xdr:to>
      <xdr:col>2</xdr:col>
      <xdr:colOff>371477</xdr:colOff>
      <xdr:row>23</xdr:row>
      <xdr:rowOff>66675</xdr:rowOff>
    </xdr:to>
    <xdr:cxnSp macro="">
      <xdr:nvCxnSpPr>
        <xdr:cNvPr id="5" name="Straight Arrow Connector 4"/>
        <xdr:cNvCxnSpPr/>
      </xdr:nvCxnSpPr>
      <xdr:spPr>
        <a:xfrm flipH="1" flipV="1">
          <a:off x="1219200" y="4152900"/>
          <a:ext cx="457202" cy="2952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923926</xdr:colOff>
      <xdr:row>4</xdr:row>
      <xdr:rowOff>66674</xdr:rowOff>
    </xdr:from>
    <xdr:to>
      <xdr:col>9</xdr:col>
      <xdr:colOff>476251</xdr:colOff>
      <xdr:row>5</xdr:row>
      <xdr:rowOff>76199</xdr:rowOff>
    </xdr:to>
    <xdr:sp macro="" textlink="">
      <xdr:nvSpPr>
        <xdr:cNvPr id="9" name="Rectangle 8"/>
        <xdr:cNvSpPr/>
      </xdr:nvSpPr>
      <xdr:spPr>
        <a:xfrm>
          <a:off x="7896226" y="828674"/>
          <a:ext cx="800100" cy="20002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=I9/4000</a:t>
          </a:r>
        </a:p>
      </xdr:txBody>
    </xdr:sp>
    <xdr:clientData/>
  </xdr:twoCellAnchor>
  <xdr:twoCellAnchor>
    <xdr:from>
      <xdr:col>7</xdr:col>
      <xdr:colOff>476250</xdr:colOff>
      <xdr:row>4</xdr:row>
      <xdr:rowOff>66674</xdr:rowOff>
    </xdr:from>
    <xdr:to>
      <xdr:col>8</xdr:col>
      <xdr:colOff>666750</xdr:colOff>
      <xdr:row>5</xdr:row>
      <xdr:rowOff>95249</xdr:rowOff>
    </xdr:to>
    <xdr:sp macro="" textlink="">
      <xdr:nvSpPr>
        <xdr:cNvPr id="10" name="Rectangle 9"/>
        <xdr:cNvSpPr/>
      </xdr:nvSpPr>
      <xdr:spPr>
        <a:xfrm>
          <a:off x="6467475" y="828674"/>
          <a:ext cx="1171575" cy="21907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=H9+(H9*10%)</a:t>
          </a:r>
        </a:p>
      </xdr:txBody>
    </xdr:sp>
    <xdr:clientData/>
  </xdr:twoCellAnchor>
  <xdr:twoCellAnchor>
    <xdr:from>
      <xdr:col>3</xdr:col>
      <xdr:colOff>428624</xdr:colOff>
      <xdr:row>4</xdr:row>
      <xdr:rowOff>57150</xdr:rowOff>
    </xdr:from>
    <xdr:to>
      <xdr:col>5</xdr:col>
      <xdr:colOff>504824</xdr:colOff>
      <xdr:row>5</xdr:row>
      <xdr:rowOff>85725</xdr:rowOff>
    </xdr:to>
    <xdr:sp macro="" textlink="">
      <xdr:nvSpPr>
        <xdr:cNvPr id="11" name="Rectangle 10"/>
        <xdr:cNvSpPr/>
      </xdr:nvSpPr>
      <xdr:spPr>
        <a:xfrm>
          <a:off x="2486024" y="819150"/>
          <a:ext cx="1914525" cy="21907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=CONCATENATE(C9,"</a:t>
          </a:r>
          <a:r>
            <a:rPr lang="en-US" sz="1100" baseline="0"/>
            <a:t>    ",B9)</a:t>
          </a:r>
          <a:endParaRPr lang="en-US" sz="1100"/>
        </a:p>
      </xdr:txBody>
    </xdr:sp>
    <xdr:clientData/>
  </xdr:twoCellAnchor>
  <xdr:twoCellAnchor>
    <xdr:from>
      <xdr:col>9</xdr:col>
      <xdr:colOff>0</xdr:colOff>
      <xdr:row>5</xdr:row>
      <xdr:rowOff>76200</xdr:rowOff>
    </xdr:from>
    <xdr:to>
      <xdr:col>9</xdr:col>
      <xdr:colOff>304800</xdr:colOff>
      <xdr:row>7</xdr:row>
      <xdr:rowOff>95250</xdr:rowOff>
    </xdr:to>
    <xdr:cxnSp macro="">
      <xdr:nvCxnSpPr>
        <xdr:cNvPr id="13" name="Straight Arrow Connector 12"/>
        <xdr:cNvCxnSpPr/>
      </xdr:nvCxnSpPr>
      <xdr:spPr>
        <a:xfrm>
          <a:off x="8220075" y="1028700"/>
          <a:ext cx="304800" cy="4000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5</xdr:row>
      <xdr:rowOff>95250</xdr:rowOff>
    </xdr:from>
    <xdr:to>
      <xdr:col>8</xdr:col>
      <xdr:colOff>523875</xdr:colOff>
      <xdr:row>7</xdr:row>
      <xdr:rowOff>104775</xdr:rowOff>
    </xdr:to>
    <xdr:cxnSp macro="">
      <xdr:nvCxnSpPr>
        <xdr:cNvPr id="15" name="Straight Arrow Connector 14"/>
        <xdr:cNvCxnSpPr/>
      </xdr:nvCxnSpPr>
      <xdr:spPr>
        <a:xfrm>
          <a:off x="7153275" y="1047750"/>
          <a:ext cx="342900" cy="3905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942976</xdr:colOff>
      <xdr:row>5</xdr:row>
      <xdr:rowOff>85725</xdr:rowOff>
    </xdr:from>
    <xdr:to>
      <xdr:col>4</xdr:col>
      <xdr:colOff>157162</xdr:colOff>
      <xdr:row>7</xdr:row>
      <xdr:rowOff>28575</xdr:rowOff>
    </xdr:to>
    <xdr:cxnSp macro="">
      <xdr:nvCxnSpPr>
        <xdr:cNvPr id="17" name="Straight Arrow Connector 16"/>
        <xdr:cNvCxnSpPr>
          <a:stCxn id="11" idx="2"/>
        </xdr:cNvCxnSpPr>
      </xdr:nvCxnSpPr>
      <xdr:spPr>
        <a:xfrm flipH="1">
          <a:off x="3000376" y="1038225"/>
          <a:ext cx="442911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B1">
            <v>1996</v>
          </cell>
          <cell r="C1">
            <v>1997</v>
          </cell>
          <cell r="D1">
            <v>1998</v>
          </cell>
          <cell r="E1">
            <v>1999</v>
          </cell>
          <cell r="F1">
            <v>2000</v>
          </cell>
          <cell r="G1">
            <v>2001</v>
          </cell>
          <cell r="H1">
            <v>2002</v>
          </cell>
          <cell r="I1">
            <v>2003</v>
          </cell>
          <cell r="J1">
            <v>2004</v>
          </cell>
        </row>
        <row r="2">
          <cell r="A2" t="str">
            <v>Phnom Penh</v>
          </cell>
          <cell r="B2">
            <v>100000</v>
          </cell>
          <cell r="C2">
            <v>50000</v>
          </cell>
          <cell r="D2">
            <v>120000</v>
          </cell>
          <cell r="E2">
            <v>40000</v>
          </cell>
          <cell r="F2">
            <v>40000</v>
          </cell>
          <cell r="G2">
            <v>150000</v>
          </cell>
          <cell r="H2">
            <v>120000</v>
          </cell>
          <cell r="I2">
            <v>150000</v>
          </cell>
          <cell r="J2">
            <v>23600</v>
          </cell>
        </row>
        <row r="3">
          <cell r="A3" t="str">
            <v>Kompong Cham</v>
          </cell>
          <cell r="B3">
            <v>54000</v>
          </cell>
          <cell r="C3">
            <v>23500</v>
          </cell>
          <cell r="D3">
            <v>12400</v>
          </cell>
          <cell r="E3">
            <v>12587</v>
          </cell>
          <cell r="F3">
            <v>12500</v>
          </cell>
          <cell r="G3">
            <v>124580</v>
          </cell>
          <cell r="H3">
            <v>125000</v>
          </cell>
          <cell r="I3">
            <v>45000</v>
          </cell>
          <cell r="J3">
            <v>250000</v>
          </cell>
        </row>
        <row r="4">
          <cell r="A4" t="str">
            <v>kompong Thom</v>
          </cell>
          <cell r="B4">
            <v>65000</v>
          </cell>
          <cell r="C4">
            <v>250000</v>
          </cell>
          <cell r="D4">
            <v>20000</v>
          </cell>
          <cell r="E4">
            <v>15000</v>
          </cell>
          <cell r="F4">
            <v>14000</v>
          </cell>
          <cell r="G4">
            <v>125400</v>
          </cell>
          <cell r="H4">
            <v>12000</v>
          </cell>
          <cell r="I4">
            <v>125000</v>
          </cell>
          <cell r="J4">
            <v>124000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I35"/>
  <sheetViews>
    <sheetView zoomScaleNormal="100" workbookViewId="0">
      <selection activeCell="AK27" sqref="AK27"/>
    </sheetView>
  </sheetViews>
  <sheetFormatPr defaultRowHeight="15" x14ac:dyDescent="0.25"/>
  <cols>
    <col min="1" max="2" width="9.28515625" customWidth="1"/>
    <col min="3" max="33" width="3.7109375" customWidth="1"/>
    <col min="34" max="35" width="8.28515625" customWidth="1"/>
    <col min="36" max="36" width="6.85546875" customWidth="1"/>
  </cols>
  <sheetData>
    <row r="1" spans="1:35" ht="15" customHeight="1" x14ac:dyDescent="0.25">
      <c r="A1" s="245" t="s">
        <v>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</row>
    <row r="2" spans="1:35" x14ac:dyDescent="0.2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</row>
    <row r="3" spans="1:35" ht="15.75" thickBot="1" x14ac:dyDescent="0.3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</row>
    <row r="4" spans="1:35" ht="16.5" thickTop="1" thickBot="1" x14ac:dyDescent="0.3">
      <c r="A4" s="9" t="s">
        <v>0</v>
      </c>
      <c r="B4" s="10" t="s">
        <v>2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13</v>
      </c>
      <c r="P4" s="11">
        <v>14</v>
      </c>
      <c r="Q4" s="11">
        <v>15</v>
      </c>
      <c r="R4" s="11">
        <v>16</v>
      </c>
      <c r="S4" s="11">
        <v>17</v>
      </c>
      <c r="T4" s="11">
        <v>18</v>
      </c>
      <c r="U4" s="11">
        <v>19</v>
      </c>
      <c r="V4" s="11">
        <v>20</v>
      </c>
      <c r="W4" s="11">
        <v>21</v>
      </c>
      <c r="X4" s="11">
        <v>22</v>
      </c>
      <c r="Y4" s="11">
        <v>23</v>
      </c>
      <c r="Z4" s="11">
        <v>24</v>
      </c>
      <c r="AA4" s="11">
        <v>25</v>
      </c>
      <c r="AB4" s="11">
        <v>26</v>
      </c>
      <c r="AC4" s="11">
        <v>27</v>
      </c>
      <c r="AD4" s="11">
        <v>28</v>
      </c>
      <c r="AE4" s="11">
        <v>29</v>
      </c>
      <c r="AF4" s="11">
        <v>30</v>
      </c>
      <c r="AG4" s="11">
        <v>31</v>
      </c>
      <c r="AH4" s="11" t="s">
        <v>107</v>
      </c>
      <c r="AI4" s="12" t="s">
        <v>272</v>
      </c>
    </row>
    <row r="5" spans="1:35" ht="15.75" thickTop="1" x14ac:dyDescent="0.25">
      <c r="A5" s="6">
        <v>1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x14ac:dyDescent="0.25">
      <c r="A6" s="2">
        <v>2</v>
      </c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2.75" customHeight="1" x14ac:dyDescent="0.25">
      <c r="A7" s="2">
        <v>3</v>
      </c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x14ac:dyDescent="0.25">
      <c r="A8" s="2">
        <v>4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x14ac:dyDescent="0.25">
      <c r="A9" s="2">
        <v>5</v>
      </c>
      <c r="B9" s="4"/>
      <c r="C9" s="1"/>
      <c r="D9" s="1"/>
      <c r="E9" s="1"/>
      <c r="F9" s="1"/>
      <c r="G9" s="1"/>
      <c r="H9" s="1"/>
      <c r="I9" s="1"/>
      <c r="J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x14ac:dyDescent="0.25">
      <c r="A10" s="2">
        <v>6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x14ac:dyDescent="0.25">
      <c r="A11" s="2">
        <v>7</v>
      </c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25">
      <c r="A12" s="2">
        <v>8</v>
      </c>
      <c r="B12" s="4"/>
      <c r="C12" s="1"/>
      <c r="D12" s="1"/>
      <c r="E12" s="1"/>
      <c r="F12" s="1"/>
      <c r="G12" s="1"/>
      <c r="H12" s="1"/>
      <c r="I12" s="1"/>
      <c r="J12" s="1"/>
      <c r="K12" s="1"/>
      <c r="L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x14ac:dyDescent="0.25">
      <c r="A13" s="2">
        <v>9</v>
      </c>
      <c r="B13" s="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x14ac:dyDescent="0.25">
      <c r="A14" s="2">
        <v>10</v>
      </c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x14ac:dyDescent="0.25">
      <c r="A15" s="2">
        <v>11</v>
      </c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x14ac:dyDescent="0.25">
      <c r="A16" s="2">
        <v>12</v>
      </c>
      <c r="B16" s="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x14ac:dyDescent="0.25">
      <c r="A17" s="2">
        <v>13</v>
      </c>
      <c r="B17" s="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x14ac:dyDescent="0.25">
      <c r="A18" s="2">
        <v>14</v>
      </c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x14ac:dyDescent="0.25">
      <c r="A19" s="2">
        <v>15</v>
      </c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x14ac:dyDescent="0.25">
      <c r="A20" s="2">
        <v>16</v>
      </c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x14ac:dyDescent="0.25">
      <c r="A21" s="2">
        <v>17</v>
      </c>
      <c r="B21" s="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x14ac:dyDescent="0.25">
      <c r="A22" s="2">
        <v>18</v>
      </c>
      <c r="B22" s="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x14ac:dyDescent="0.25">
      <c r="A23" s="2">
        <v>19</v>
      </c>
      <c r="B23" s="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x14ac:dyDescent="0.25">
      <c r="A24" s="2">
        <v>20</v>
      </c>
      <c r="B24" s="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x14ac:dyDescent="0.25">
      <c r="A25" s="2">
        <v>21</v>
      </c>
      <c r="B25" s="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x14ac:dyDescent="0.25">
      <c r="A26" s="2">
        <v>22</v>
      </c>
      <c r="B26" s="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x14ac:dyDescent="0.25">
      <c r="A27" s="2">
        <v>23</v>
      </c>
      <c r="B27" s="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x14ac:dyDescent="0.25">
      <c r="A28" s="2">
        <v>24</v>
      </c>
      <c r="B28" s="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x14ac:dyDescent="0.25">
      <c r="A29" s="2">
        <v>25</v>
      </c>
      <c r="B29" s="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x14ac:dyDescent="0.25">
      <c r="A30" s="2">
        <v>26</v>
      </c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x14ac:dyDescent="0.25">
      <c r="A31" s="2">
        <v>27</v>
      </c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x14ac:dyDescent="0.25">
      <c r="A32" s="2">
        <v>28</v>
      </c>
      <c r="B32" s="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x14ac:dyDescent="0.25">
      <c r="A33" s="2">
        <v>29</v>
      </c>
      <c r="B33" s="4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x14ac:dyDescent="0.25">
      <c r="A34" s="2">
        <v>30</v>
      </c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x14ac:dyDescent="0.25">
      <c r="A35" s="2">
        <v>31</v>
      </c>
      <c r="B35" s="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</sheetData>
  <mergeCells count="1">
    <mergeCell ref="A1:AH3"/>
  </mergeCells>
  <pageMargins left="0.25" right="0.25" top="0.25" bottom="0.2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G35"/>
  <sheetViews>
    <sheetView topLeftCell="A13" workbookViewId="0">
      <selection activeCell="K31" sqref="K29:K31"/>
    </sheetView>
  </sheetViews>
  <sheetFormatPr defaultRowHeight="15" x14ac:dyDescent="0.25"/>
  <cols>
    <col min="1" max="1" width="6.42578125" customWidth="1"/>
    <col min="2" max="2" width="20.5703125" customWidth="1"/>
    <col min="4" max="4" width="16.7109375" customWidth="1"/>
    <col min="6" max="6" width="10.42578125" customWidth="1"/>
  </cols>
  <sheetData>
    <row r="1" spans="1:7" x14ac:dyDescent="0.25">
      <c r="A1" s="246"/>
      <c r="B1" s="246"/>
      <c r="C1" s="246"/>
      <c r="D1" s="246"/>
      <c r="E1" s="246"/>
      <c r="F1" s="246"/>
      <c r="G1" s="246"/>
    </row>
    <row r="2" spans="1:7" x14ac:dyDescent="0.25">
      <c r="A2" s="246"/>
      <c r="B2" s="246"/>
      <c r="C2" s="246"/>
      <c r="D2" s="246"/>
      <c r="E2" s="246"/>
      <c r="F2" s="246"/>
      <c r="G2" s="246"/>
    </row>
    <row r="3" spans="1:7" x14ac:dyDescent="0.25">
      <c r="A3" s="246"/>
      <c r="B3" s="246"/>
      <c r="C3" s="246"/>
      <c r="D3" s="246"/>
      <c r="E3" s="246"/>
      <c r="F3" s="246"/>
      <c r="G3" s="246"/>
    </row>
    <row r="4" spans="1:7" x14ac:dyDescent="0.25">
      <c r="A4" s="246"/>
      <c r="B4" s="246"/>
      <c r="C4" s="246"/>
      <c r="D4" s="246"/>
      <c r="E4" s="246"/>
      <c r="F4" s="246"/>
      <c r="G4" s="246"/>
    </row>
    <row r="5" spans="1:7" x14ac:dyDescent="0.25">
      <c r="A5" s="246"/>
      <c r="B5" s="246"/>
      <c r="C5" s="246"/>
      <c r="D5" s="246"/>
      <c r="E5" s="246"/>
      <c r="F5" s="246"/>
      <c r="G5" s="246"/>
    </row>
    <row r="6" spans="1:7" x14ac:dyDescent="0.25">
      <c r="A6" s="246"/>
      <c r="B6" s="246"/>
      <c r="C6" s="246"/>
      <c r="D6" s="246"/>
      <c r="E6" s="246"/>
      <c r="F6" s="246"/>
      <c r="G6" s="246"/>
    </row>
    <row r="7" spans="1:7" x14ac:dyDescent="0.25">
      <c r="A7" s="246"/>
      <c r="B7" s="246"/>
      <c r="C7" s="246"/>
      <c r="D7" s="246"/>
      <c r="E7" s="246"/>
      <c r="F7" s="246"/>
      <c r="G7" s="246"/>
    </row>
    <row r="8" spans="1:7" x14ac:dyDescent="0.25">
      <c r="A8" s="246"/>
      <c r="B8" s="246"/>
      <c r="C8" s="246"/>
      <c r="D8" s="246"/>
      <c r="E8" s="246"/>
      <c r="F8" s="246"/>
      <c r="G8" s="246"/>
    </row>
    <row r="9" spans="1:7" x14ac:dyDescent="0.25">
      <c r="A9" s="277"/>
      <c r="B9" s="277"/>
      <c r="C9" s="277"/>
      <c r="D9" s="277"/>
      <c r="E9" s="277"/>
      <c r="F9" s="277"/>
      <c r="G9" s="277"/>
    </row>
    <row r="10" spans="1:7" ht="24.75" x14ac:dyDescent="0.25">
      <c r="A10" s="163" t="s">
        <v>130</v>
      </c>
      <c r="B10" s="163" t="s">
        <v>300</v>
      </c>
      <c r="C10" s="163" t="s">
        <v>176</v>
      </c>
      <c r="D10" s="163" t="s">
        <v>301</v>
      </c>
      <c r="E10" s="163" t="s">
        <v>302</v>
      </c>
      <c r="F10" s="163" t="s">
        <v>303</v>
      </c>
      <c r="G10" s="163" t="s">
        <v>186</v>
      </c>
    </row>
    <row r="11" spans="1:7" ht="19.5" customHeight="1" x14ac:dyDescent="0.25">
      <c r="A11" s="164">
        <v>1</v>
      </c>
      <c r="B11" s="171" t="s">
        <v>304</v>
      </c>
      <c r="C11" s="171" t="s">
        <v>305</v>
      </c>
      <c r="D11" s="1" t="s">
        <v>306</v>
      </c>
      <c r="E11" s="165">
        <v>8.5</v>
      </c>
      <c r="F11" s="85" t="str">
        <f>IF(E11&lt;5,"Weak",IF(E11&lt;7,"Medium",IF(E11&lt;8,"Fail",IF(E11&lt;9,"Good","Very Good"))))</f>
        <v>Good</v>
      </c>
      <c r="G11" s="85" t="str">
        <f>IF(E11&lt;5,"fail","Pass")</f>
        <v>Pass</v>
      </c>
    </row>
    <row r="12" spans="1:7" ht="19.5" customHeight="1" x14ac:dyDescent="0.25">
      <c r="A12" s="164">
        <v>2</v>
      </c>
      <c r="B12" s="171" t="s">
        <v>307</v>
      </c>
      <c r="C12" s="171" t="s">
        <v>308</v>
      </c>
      <c r="D12" s="1" t="s">
        <v>309</v>
      </c>
      <c r="E12" s="165">
        <v>9.5</v>
      </c>
      <c r="F12" s="85" t="str">
        <f t="shared" ref="F12:F24" si="0">IF(E12&lt;5,"Weak",IF(E12&lt;7,"Medium",IF(E12&lt;8,"Fail",IF(E12&lt;9,"Good","Very Good"))))</f>
        <v>Very Good</v>
      </c>
      <c r="G12" s="85" t="str">
        <f t="shared" ref="G12:G24" si="1">IF(E12&lt;5,"fail","Pass")</f>
        <v>Pass</v>
      </c>
    </row>
    <row r="13" spans="1:7" ht="19.5" customHeight="1" x14ac:dyDescent="0.25">
      <c r="A13" s="164">
        <v>3</v>
      </c>
      <c r="B13" s="171" t="s">
        <v>310</v>
      </c>
      <c r="C13" s="171" t="s">
        <v>308</v>
      </c>
      <c r="D13" s="1" t="s">
        <v>311</v>
      </c>
      <c r="E13" s="165">
        <v>7</v>
      </c>
      <c r="F13" s="85" t="str">
        <f t="shared" si="0"/>
        <v>Fail</v>
      </c>
      <c r="G13" s="85" t="str">
        <f t="shared" si="1"/>
        <v>Pass</v>
      </c>
    </row>
    <row r="14" spans="1:7" ht="19.5" customHeight="1" x14ac:dyDescent="0.25">
      <c r="A14" s="164">
        <v>4</v>
      </c>
      <c r="B14" s="171" t="s">
        <v>312</v>
      </c>
      <c r="C14" s="171" t="s">
        <v>308</v>
      </c>
      <c r="D14" s="1" t="s">
        <v>313</v>
      </c>
      <c r="E14" s="165">
        <v>6.5</v>
      </c>
      <c r="F14" s="85" t="str">
        <f t="shared" si="0"/>
        <v>Medium</v>
      </c>
      <c r="G14" s="85" t="str">
        <f t="shared" si="1"/>
        <v>Pass</v>
      </c>
    </row>
    <row r="15" spans="1:7" ht="19.5" customHeight="1" x14ac:dyDescent="0.25">
      <c r="A15" s="164">
        <v>5</v>
      </c>
      <c r="B15" s="171" t="s">
        <v>314</v>
      </c>
      <c r="C15" s="171" t="s">
        <v>305</v>
      </c>
      <c r="D15" s="1" t="s">
        <v>309</v>
      </c>
      <c r="E15" s="165">
        <v>5</v>
      </c>
      <c r="F15" s="85" t="str">
        <f t="shared" si="0"/>
        <v>Medium</v>
      </c>
      <c r="G15" s="85" t="str">
        <f t="shared" si="1"/>
        <v>Pass</v>
      </c>
    </row>
    <row r="16" spans="1:7" ht="19.5" customHeight="1" x14ac:dyDescent="0.25">
      <c r="A16" s="164">
        <v>6</v>
      </c>
      <c r="B16" s="171" t="s">
        <v>315</v>
      </c>
      <c r="C16" s="171" t="s">
        <v>305</v>
      </c>
      <c r="D16" s="1" t="s">
        <v>306</v>
      </c>
      <c r="E16" s="165">
        <v>7.25</v>
      </c>
      <c r="F16" s="85" t="str">
        <f t="shared" si="0"/>
        <v>Fail</v>
      </c>
      <c r="G16" s="85" t="str">
        <f t="shared" si="1"/>
        <v>Pass</v>
      </c>
    </row>
    <row r="17" spans="1:7" ht="19.5" customHeight="1" x14ac:dyDescent="0.25">
      <c r="A17" s="164">
        <v>7</v>
      </c>
      <c r="B17" s="171" t="s">
        <v>316</v>
      </c>
      <c r="C17" s="171" t="s">
        <v>305</v>
      </c>
      <c r="D17" s="1" t="s">
        <v>313</v>
      </c>
      <c r="E17" s="165">
        <v>4.3</v>
      </c>
      <c r="F17" s="85" t="str">
        <f t="shared" si="0"/>
        <v>Weak</v>
      </c>
      <c r="G17" s="85" t="str">
        <f t="shared" si="1"/>
        <v>fail</v>
      </c>
    </row>
    <row r="18" spans="1:7" ht="19.5" customHeight="1" x14ac:dyDescent="0.25">
      <c r="A18" s="164">
        <v>8</v>
      </c>
      <c r="B18" s="171" t="s">
        <v>317</v>
      </c>
      <c r="C18" s="171" t="s">
        <v>308</v>
      </c>
      <c r="D18" s="1" t="s">
        <v>309</v>
      </c>
      <c r="E18" s="165">
        <v>8.1999999999999993</v>
      </c>
      <c r="F18" s="85" t="str">
        <f t="shared" si="0"/>
        <v>Good</v>
      </c>
      <c r="G18" s="85" t="str">
        <f t="shared" si="1"/>
        <v>Pass</v>
      </c>
    </row>
    <row r="19" spans="1:7" ht="19.5" customHeight="1" x14ac:dyDescent="0.25">
      <c r="A19" s="164">
        <v>9</v>
      </c>
      <c r="B19" s="171" t="s">
        <v>318</v>
      </c>
      <c r="C19" s="171" t="s">
        <v>308</v>
      </c>
      <c r="D19" s="1" t="s">
        <v>311</v>
      </c>
      <c r="E19" s="165">
        <v>10</v>
      </c>
      <c r="F19" s="85" t="str">
        <f t="shared" si="0"/>
        <v>Very Good</v>
      </c>
      <c r="G19" s="85" t="str">
        <f t="shared" si="1"/>
        <v>Pass</v>
      </c>
    </row>
    <row r="20" spans="1:7" ht="19.5" customHeight="1" x14ac:dyDescent="0.25">
      <c r="A20" s="164">
        <v>10</v>
      </c>
      <c r="B20" s="171" t="s">
        <v>319</v>
      </c>
      <c r="C20" s="171" t="s">
        <v>305</v>
      </c>
      <c r="D20" s="1" t="s">
        <v>306</v>
      </c>
      <c r="E20" s="165">
        <v>9.9</v>
      </c>
      <c r="F20" s="85" t="str">
        <f t="shared" si="0"/>
        <v>Very Good</v>
      </c>
      <c r="G20" s="85" t="str">
        <f t="shared" si="1"/>
        <v>Pass</v>
      </c>
    </row>
    <row r="21" spans="1:7" ht="19.5" customHeight="1" x14ac:dyDescent="0.25">
      <c r="A21" s="164">
        <v>11</v>
      </c>
      <c r="B21" s="171" t="s">
        <v>320</v>
      </c>
      <c r="C21" s="171" t="s">
        <v>305</v>
      </c>
      <c r="D21" s="1" t="s">
        <v>313</v>
      </c>
      <c r="E21" s="165">
        <v>8.1</v>
      </c>
      <c r="F21" s="85" t="str">
        <f t="shared" si="0"/>
        <v>Good</v>
      </c>
      <c r="G21" s="85" t="str">
        <f t="shared" si="1"/>
        <v>Pass</v>
      </c>
    </row>
    <row r="22" spans="1:7" ht="19.5" customHeight="1" x14ac:dyDescent="0.25">
      <c r="A22" s="164">
        <v>12</v>
      </c>
      <c r="B22" s="171" t="s">
        <v>321</v>
      </c>
      <c r="C22" s="171" t="s">
        <v>308</v>
      </c>
      <c r="D22" s="1" t="s">
        <v>306</v>
      </c>
      <c r="E22" s="165">
        <v>6.4</v>
      </c>
      <c r="F22" s="85" t="str">
        <f t="shared" si="0"/>
        <v>Medium</v>
      </c>
      <c r="G22" s="85" t="str">
        <f t="shared" si="1"/>
        <v>Pass</v>
      </c>
    </row>
    <row r="23" spans="1:7" ht="19.5" customHeight="1" x14ac:dyDescent="0.25">
      <c r="A23" s="164">
        <v>13</v>
      </c>
      <c r="B23" s="171" t="s">
        <v>322</v>
      </c>
      <c r="C23" s="171" t="s">
        <v>305</v>
      </c>
      <c r="D23" s="1" t="s">
        <v>311</v>
      </c>
      <c r="E23" s="165">
        <v>4.8</v>
      </c>
      <c r="F23" s="85" t="str">
        <f t="shared" si="0"/>
        <v>Weak</v>
      </c>
      <c r="G23" s="85" t="str">
        <f t="shared" si="1"/>
        <v>fail</v>
      </c>
    </row>
    <row r="24" spans="1:7" ht="19.5" customHeight="1" x14ac:dyDescent="0.25">
      <c r="A24" s="164">
        <v>14</v>
      </c>
      <c r="B24" s="171" t="s">
        <v>323</v>
      </c>
      <c r="C24" s="171" t="s">
        <v>305</v>
      </c>
      <c r="D24" s="1" t="s">
        <v>309</v>
      </c>
      <c r="E24" s="165">
        <v>6.1</v>
      </c>
      <c r="F24" s="85" t="str">
        <f t="shared" si="0"/>
        <v>Medium</v>
      </c>
      <c r="G24" s="85" t="str">
        <f t="shared" si="1"/>
        <v>Pass</v>
      </c>
    </row>
    <row r="25" spans="1:7" ht="19.5" customHeight="1" x14ac:dyDescent="0.25">
      <c r="A25" s="96"/>
      <c r="B25" s="97"/>
      <c r="C25" s="97"/>
      <c r="D25" s="97"/>
      <c r="E25" s="97"/>
      <c r="F25" s="97"/>
      <c r="G25" s="166"/>
    </row>
    <row r="26" spans="1:7" ht="19.5" customHeight="1" x14ac:dyDescent="0.25">
      <c r="A26" s="178"/>
      <c r="B26" s="179"/>
      <c r="C26" s="179"/>
      <c r="D26" s="358" t="s">
        <v>324</v>
      </c>
      <c r="E26" s="361" t="s">
        <v>325</v>
      </c>
      <c r="F26" s="362"/>
      <c r="G26" s="1">
        <f>COUNTIF(G12:G25,"Pass")</f>
        <v>11</v>
      </c>
    </row>
    <row r="27" spans="1:7" ht="19.5" customHeight="1" x14ac:dyDescent="0.25">
      <c r="A27" s="178"/>
      <c r="B27" s="179"/>
      <c r="C27" s="179"/>
      <c r="D27" s="359"/>
      <c r="E27" s="361" t="s">
        <v>326</v>
      </c>
      <c r="F27" s="362"/>
      <c r="G27" s="1">
        <f>COUNTIF(G12:G25,"Fail")</f>
        <v>2</v>
      </c>
    </row>
    <row r="28" spans="1:7" ht="19.5" customHeight="1" x14ac:dyDescent="0.25">
      <c r="A28" s="178"/>
      <c r="B28" s="179"/>
      <c r="C28" s="180"/>
      <c r="D28" s="360"/>
      <c r="E28" s="361" t="s">
        <v>148</v>
      </c>
      <c r="F28" s="362"/>
      <c r="G28" s="1">
        <f>SUM(G26:G27)</f>
        <v>13</v>
      </c>
    </row>
    <row r="29" spans="1:7" ht="19.5" customHeight="1" x14ac:dyDescent="0.25">
      <c r="A29" s="181" t="s">
        <v>334</v>
      </c>
      <c r="B29" s="179"/>
      <c r="C29" s="179"/>
      <c r="D29" s="182"/>
      <c r="E29" s="182"/>
      <c r="F29" s="182"/>
      <c r="G29" s="168"/>
    </row>
    <row r="30" spans="1:7" ht="19.5" customHeight="1" x14ac:dyDescent="0.25">
      <c r="A30" s="178" t="s">
        <v>336</v>
      </c>
      <c r="B30" s="179"/>
      <c r="C30" s="179" t="s">
        <v>335</v>
      </c>
      <c r="D30" s="179"/>
      <c r="E30" s="179"/>
      <c r="F30" s="179"/>
      <c r="G30" s="169"/>
    </row>
    <row r="31" spans="1:7" ht="19.5" customHeight="1" x14ac:dyDescent="0.25">
      <c r="A31" s="178" t="s">
        <v>337</v>
      </c>
      <c r="B31" s="179"/>
      <c r="C31" s="179" t="s">
        <v>343</v>
      </c>
      <c r="D31" s="179"/>
      <c r="E31" s="179"/>
      <c r="F31" s="179"/>
      <c r="G31" s="169"/>
    </row>
    <row r="32" spans="1:7" ht="19.5" customHeight="1" x14ac:dyDescent="0.25">
      <c r="A32" s="178" t="s">
        <v>338</v>
      </c>
      <c r="B32" s="179"/>
      <c r="C32" s="179" t="s">
        <v>344</v>
      </c>
      <c r="D32" s="179"/>
      <c r="E32" s="179"/>
      <c r="F32" s="179"/>
      <c r="G32" s="169"/>
    </row>
    <row r="33" spans="1:7" ht="19.5" customHeight="1" x14ac:dyDescent="0.25">
      <c r="A33" s="178" t="s">
        <v>339</v>
      </c>
      <c r="B33" s="179"/>
      <c r="C33" s="179" t="s">
        <v>345</v>
      </c>
      <c r="D33" s="179"/>
      <c r="E33" s="179"/>
      <c r="F33" s="179"/>
      <c r="G33" s="169"/>
    </row>
    <row r="34" spans="1:7" ht="19.5" customHeight="1" x14ac:dyDescent="0.25">
      <c r="A34" s="178" t="s">
        <v>342</v>
      </c>
      <c r="B34" s="179"/>
      <c r="C34" s="179"/>
      <c r="D34" s="179"/>
      <c r="E34" s="179"/>
      <c r="F34" s="179"/>
      <c r="G34" s="169"/>
    </row>
    <row r="35" spans="1:7" ht="19.5" customHeight="1" x14ac:dyDescent="0.25">
      <c r="A35" s="143"/>
      <c r="B35" s="45"/>
      <c r="C35" s="45"/>
      <c r="D35" s="45"/>
      <c r="E35" s="45"/>
      <c r="F35" s="45"/>
      <c r="G35" s="170"/>
    </row>
  </sheetData>
  <mergeCells count="5">
    <mergeCell ref="D26:D28"/>
    <mergeCell ref="E28:F28"/>
    <mergeCell ref="A1:G9"/>
    <mergeCell ref="E26:F26"/>
    <mergeCell ref="E27:F2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32"/>
  <sheetViews>
    <sheetView workbookViewId="0">
      <selection activeCell="E28" sqref="E28"/>
    </sheetView>
  </sheetViews>
  <sheetFormatPr defaultRowHeight="15" x14ac:dyDescent="0.25"/>
  <cols>
    <col min="1" max="1" width="6.28515625" customWidth="1"/>
    <col min="2" max="2" width="13.28515625" customWidth="1"/>
    <col min="3" max="3" width="11.28515625" customWidth="1"/>
    <col min="4" max="4" width="18.42578125" customWidth="1"/>
    <col min="6" max="6" width="16.140625" customWidth="1"/>
    <col min="7" max="7" width="15.28515625" customWidth="1"/>
    <col min="8" max="8" width="14.7109375" customWidth="1"/>
    <col min="9" max="9" width="18.7109375" customWidth="1"/>
    <col min="10" max="10" width="15.140625" customWidth="1"/>
  </cols>
  <sheetData>
    <row r="1" spans="1:10" x14ac:dyDescent="0.25">
      <c r="A1" s="363" t="s">
        <v>290</v>
      </c>
      <c r="B1" s="363"/>
      <c r="C1" s="363"/>
      <c r="D1" s="363"/>
      <c r="E1" s="363"/>
      <c r="F1" s="363"/>
      <c r="G1" s="363"/>
      <c r="H1" s="363"/>
      <c r="I1" s="363"/>
      <c r="J1" s="347"/>
    </row>
    <row r="2" spans="1:10" x14ac:dyDescent="0.25">
      <c r="A2" s="363"/>
      <c r="B2" s="363"/>
      <c r="C2" s="363"/>
      <c r="D2" s="363"/>
      <c r="E2" s="363"/>
      <c r="F2" s="363"/>
      <c r="G2" s="363"/>
      <c r="H2" s="363"/>
      <c r="I2" s="363"/>
      <c r="J2" s="347"/>
    </row>
    <row r="3" spans="1:10" x14ac:dyDescent="0.25">
      <c r="A3" s="363"/>
      <c r="B3" s="363"/>
      <c r="C3" s="363"/>
      <c r="D3" s="363"/>
      <c r="E3" s="363"/>
      <c r="F3" s="363"/>
      <c r="G3" s="363"/>
      <c r="H3" s="363"/>
      <c r="I3" s="363"/>
      <c r="J3" s="347"/>
    </row>
    <row r="4" spans="1:10" x14ac:dyDescent="0.25">
      <c r="A4" s="363"/>
      <c r="B4" s="363"/>
      <c r="C4" s="363"/>
      <c r="D4" s="363"/>
      <c r="E4" s="363"/>
      <c r="F4" s="363"/>
      <c r="G4" s="363"/>
      <c r="H4" s="363"/>
      <c r="I4" s="363"/>
      <c r="J4" s="347"/>
    </row>
    <row r="5" spans="1:10" x14ac:dyDescent="0.25">
      <c r="A5" s="363"/>
      <c r="B5" s="363"/>
      <c r="C5" s="363"/>
      <c r="D5" s="363"/>
      <c r="E5" s="363"/>
      <c r="F5" s="363"/>
      <c r="G5" s="363"/>
      <c r="H5" s="363"/>
      <c r="I5" s="363"/>
      <c r="J5" s="347"/>
    </row>
    <row r="6" spans="1:10" x14ac:dyDescent="0.25">
      <c r="A6" s="349"/>
      <c r="B6" s="349"/>
      <c r="C6" s="349"/>
      <c r="D6" s="349"/>
      <c r="E6" s="349"/>
      <c r="F6" s="349"/>
      <c r="G6" s="349"/>
      <c r="H6" s="349"/>
      <c r="I6" s="349"/>
      <c r="J6" s="350"/>
    </row>
    <row r="7" spans="1:10" x14ac:dyDescent="0.25">
      <c r="A7" s="85" t="s">
        <v>209</v>
      </c>
      <c r="B7" s="85" t="s">
        <v>327</v>
      </c>
      <c r="C7" s="85" t="s">
        <v>328</v>
      </c>
      <c r="D7" s="85" t="s">
        <v>329</v>
      </c>
      <c r="E7" s="85" t="s">
        <v>330</v>
      </c>
      <c r="F7" s="85" t="s">
        <v>331</v>
      </c>
      <c r="G7" s="85" t="s">
        <v>11</v>
      </c>
      <c r="H7" s="85" t="s">
        <v>12</v>
      </c>
      <c r="I7" s="146" t="s">
        <v>332</v>
      </c>
      <c r="J7" s="85" t="s">
        <v>333</v>
      </c>
    </row>
    <row r="8" spans="1:10" x14ac:dyDescent="0.25">
      <c r="A8" s="13">
        <v>1</v>
      </c>
      <c r="B8" s="1" t="s">
        <v>346</v>
      </c>
      <c r="C8" s="1" t="s">
        <v>414</v>
      </c>
      <c r="D8" s="1" t="str">
        <f>CONCATENATE(C8,"  ",B8)</f>
        <v>Chan  Vibol</v>
      </c>
      <c r="E8" s="1" t="s">
        <v>22</v>
      </c>
      <c r="F8" s="19">
        <v>26710</v>
      </c>
      <c r="G8" s="1" t="s">
        <v>43</v>
      </c>
      <c r="H8" s="184">
        <v>630000</v>
      </c>
      <c r="I8" s="198">
        <f>H8+(H8*10%)</f>
        <v>693000</v>
      </c>
      <c r="J8" s="199">
        <f>I8/4000</f>
        <v>173.25</v>
      </c>
    </row>
    <row r="9" spans="1:10" x14ac:dyDescent="0.25">
      <c r="A9" s="13">
        <v>2</v>
      </c>
      <c r="B9" s="1" t="s">
        <v>347</v>
      </c>
      <c r="C9" s="1" t="s">
        <v>415</v>
      </c>
      <c r="D9" s="1" t="str">
        <f t="shared" ref="D9:D17" si="0">CONCATENATE(C9,"  ",B9)</f>
        <v>Sok  Sopheak</v>
      </c>
      <c r="E9" s="1" t="s">
        <v>27</v>
      </c>
      <c r="F9" s="19">
        <v>24423</v>
      </c>
      <c r="G9" s="1" t="s">
        <v>361</v>
      </c>
      <c r="H9" s="184">
        <v>546000</v>
      </c>
      <c r="I9" s="198">
        <f t="shared" ref="I9:I17" si="1">H9+(H9*10%)</f>
        <v>600600</v>
      </c>
      <c r="J9" s="199">
        <f t="shared" ref="J9:J17" si="2">I9/4000</f>
        <v>150.15</v>
      </c>
    </row>
    <row r="10" spans="1:10" x14ac:dyDescent="0.25">
      <c r="A10" s="13">
        <v>3</v>
      </c>
      <c r="B10" s="1" t="s">
        <v>348</v>
      </c>
      <c r="C10" s="1" t="s">
        <v>416</v>
      </c>
      <c r="D10" s="1" t="str">
        <f t="shared" si="0"/>
        <v>Sothea  Dany</v>
      </c>
      <c r="E10" s="1" t="s">
        <v>27</v>
      </c>
      <c r="F10" s="19">
        <v>30455</v>
      </c>
      <c r="G10" s="1" t="s">
        <v>363</v>
      </c>
      <c r="H10" s="184">
        <v>336000</v>
      </c>
      <c r="I10" s="198">
        <f t="shared" si="1"/>
        <v>369600</v>
      </c>
      <c r="J10" s="199">
        <f t="shared" si="2"/>
        <v>92.4</v>
      </c>
    </row>
    <row r="11" spans="1:10" x14ac:dyDescent="0.25">
      <c r="A11" s="13">
        <v>4</v>
      </c>
      <c r="B11" s="1" t="s">
        <v>349</v>
      </c>
      <c r="C11" s="1" t="s">
        <v>17</v>
      </c>
      <c r="D11" s="1" t="str">
        <f t="shared" si="0"/>
        <v>Chea  Sovann</v>
      </c>
      <c r="E11" s="1" t="s">
        <v>22</v>
      </c>
      <c r="F11" s="19">
        <v>23747</v>
      </c>
      <c r="G11" s="1" t="s">
        <v>513</v>
      </c>
      <c r="H11" s="184">
        <v>150000</v>
      </c>
      <c r="I11" s="198">
        <f t="shared" si="1"/>
        <v>165000</v>
      </c>
      <c r="J11" s="199">
        <f t="shared" si="2"/>
        <v>41.25</v>
      </c>
    </row>
    <row r="12" spans="1:10" x14ac:dyDescent="0.25">
      <c r="A12" s="13">
        <v>5</v>
      </c>
      <c r="B12" s="1" t="s">
        <v>350</v>
      </c>
      <c r="C12" s="1" t="s">
        <v>18</v>
      </c>
      <c r="D12" s="1" t="str">
        <f t="shared" si="0"/>
        <v>Kong  Serey</v>
      </c>
      <c r="E12" s="1" t="s">
        <v>22</v>
      </c>
      <c r="F12" s="19">
        <v>23857</v>
      </c>
      <c r="G12" s="1" t="s">
        <v>514</v>
      </c>
      <c r="H12" s="184">
        <v>170000</v>
      </c>
      <c r="I12" s="198">
        <f t="shared" si="1"/>
        <v>187000</v>
      </c>
      <c r="J12" s="199">
        <f t="shared" si="2"/>
        <v>46.75</v>
      </c>
    </row>
    <row r="13" spans="1:10" x14ac:dyDescent="0.25">
      <c r="A13" s="13">
        <v>6</v>
      </c>
      <c r="B13" s="1" t="s">
        <v>351</v>
      </c>
      <c r="C13" s="1" t="s">
        <v>17</v>
      </c>
      <c r="D13" s="1" t="str">
        <f t="shared" si="0"/>
        <v>Chea  chamroeun</v>
      </c>
      <c r="E13" s="1" t="s">
        <v>22</v>
      </c>
      <c r="F13" s="19">
        <v>27396</v>
      </c>
      <c r="G13" s="1" t="s">
        <v>514</v>
      </c>
      <c r="H13" s="184">
        <v>170000</v>
      </c>
      <c r="I13" s="198">
        <f t="shared" si="1"/>
        <v>187000</v>
      </c>
      <c r="J13" s="199">
        <f t="shared" si="2"/>
        <v>46.75</v>
      </c>
    </row>
    <row r="14" spans="1:10" x14ac:dyDescent="0.25">
      <c r="A14" s="13">
        <v>7</v>
      </c>
      <c r="B14" s="1" t="s">
        <v>352</v>
      </c>
      <c r="C14" s="1" t="s">
        <v>417</v>
      </c>
      <c r="D14" s="1" t="str">
        <f t="shared" si="0"/>
        <v>Chhoum  Rathanak</v>
      </c>
      <c r="E14" s="1" t="s">
        <v>27</v>
      </c>
      <c r="F14" s="19">
        <v>30377</v>
      </c>
      <c r="G14" s="1" t="s">
        <v>36</v>
      </c>
      <c r="H14" s="184">
        <v>500000</v>
      </c>
      <c r="I14" s="198">
        <f t="shared" si="1"/>
        <v>550000</v>
      </c>
      <c r="J14" s="199">
        <f t="shared" si="2"/>
        <v>137.5</v>
      </c>
    </row>
    <row r="15" spans="1:10" x14ac:dyDescent="0.25">
      <c r="A15" s="13">
        <v>8</v>
      </c>
      <c r="B15" s="1" t="s">
        <v>353</v>
      </c>
      <c r="C15" s="1" t="s">
        <v>418</v>
      </c>
      <c r="D15" s="1" t="str">
        <f t="shared" si="0"/>
        <v>Dy  Phearun</v>
      </c>
      <c r="E15" s="1" t="s">
        <v>22</v>
      </c>
      <c r="F15" s="19">
        <v>30350</v>
      </c>
      <c r="G15" s="1" t="s">
        <v>363</v>
      </c>
      <c r="H15" s="184">
        <v>336000</v>
      </c>
      <c r="I15" s="198">
        <f t="shared" si="1"/>
        <v>369600</v>
      </c>
      <c r="J15" s="199">
        <f t="shared" si="2"/>
        <v>92.4</v>
      </c>
    </row>
    <row r="16" spans="1:10" x14ac:dyDescent="0.25">
      <c r="A16" s="13">
        <v>9</v>
      </c>
      <c r="B16" s="1" t="s">
        <v>354</v>
      </c>
      <c r="C16" s="1" t="s">
        <v>419</v>
      </c>
      <c r="D16" s="1" t="str">
        <f t="shared" si="0"/>
        <v>Da  Leakhena</v>
      </c>
      <c r="E16" s="1" t="s">
        <v>27</v>
      </c>
      <c r="F16" s="19">
        <v>30018</v>
      </c>
      <c r="G16" s="1" t="s">
        <v>361</v>
      </c>
      <c r="H16" s="184">
        <v>546000</v>
      </c>
      <c r="I16" s="198">
        <f t="shared" si="1"/>
        <v>600600</v>
      </c>
      <c r="J16" s="199">
        <f t="shared" si="2"/>
        <v>150.15</v>
      </c>
    </row>
    <row r="17" spans="1:10" x14ac:dyDescent="0.25">
      <c r="A17" s="13">
        <v>10</v>
      </c>
      <c r="B17" s="1" t="s">
        <v>355</v>
      </c>
      <c r="C17" s="1" t="s">
        <v>420</v>
      </c>
      <c r="D17" s="1" t="str">
        <f t="shared" si="0"/>
        <v>Hak  Somphors</v>
      </c>
      <c r="E17" s="1" t="s">
        <v>27</v>
      </c>
      <c r="F17" s="19">
        <v>31179</v>
      </c>
      <c r="G17" s="1" t="s">
        <v>43</v>
      </c>
      <c r="H17" s="184">
        <v>630000</v>
      </c>
      <c r="I17" s="198">
        <f t="shared" si="1"/>
        <v>693000</v>
      </c>
      <c r="J17" s="199">
        <f t="shared" si="2"/>
        <v>173.25</v>
      </c>
    </row>
    <row r="18" spans="1:10" x14ac:dyDescent="0.25">
      <c r="A18" s="96"/>
      <c r="B18" s="97"/>
      <c r="C18" s="97"/>
      <c r="D18" s="97"/>
      <c r="E18" s="97"/>
      <c r="F18" s="97"/>
      <c r="G18" s="97"/>
      <c r="H18" s="97"/>
      <c r="I18" s="97"/>
      <c r="J18" s="166"/>
    </row>
    <row r="19" spans="1:10" x14ac:dyDescent="0.25">
      <c r="A19" s="91"/>
      <c r="B19" s="92"/>
      <c r="C19" s="92"/>
      <c r="D19" s="92"/>
      <c r="E19" s="92"/>
      <c r="F19" s="92"/>
      <c r="G19" s="92"/>
      <c r="H19" s="92"/>
      <c r="I19" s="92"/>
      <c r="J19" s="93"/>
    </row>
    <row r="20" spans="1:10" x14ac:dyDescent="0.25">
      <c r="A20" s="91"/>
      <c r="B20" s="92"/>
      <c r="C20" s="92"/>
      <c r="D20" s="92"/>
      <c r="E20" s="92"/>
      <c r="F20" s="92"/>
      <c r="G20" s="92"/>
      <c r="H20" s="92"/>
      <c r="I20" s="92"/>
      <c r="J20" s="93"/>
    </row>
    <row r="21" spans="1:10" x14ac:dyDescent="0.25">
      <c r="A21" s="1" t="s">
        <v>515</v>
      </c>
      <c r="B21" s="1" t="s">
        <v>516</v>
      </c>
      <c r="C21" s="1" t="s">
        <v>74</v>
      </c>
      <c r="D21" s="1" t="s">
        <v>517</v>
      </c>
      <c r="E21" s="1" t="s">
        <v>11</v>
      </c>
      <c r="F21" s="1" t="s">
        <v>12</v>
      </c>
      <c r="G21" s="1" t="s">
        <v>518</v>
      </c>
      <c r="H21" s="1" t="s">
        <v>373</v>
      </c>
      <c r="I21" s="91"/>
      <c r="J21" s="93"/>
    </row>
    <row r="22" spans="1:10" x14ac:dyDescent="0.25">
      <c r="A22" s="1">
        <v>5</v>
      </c>
      <c r="B22" s="1" t="str">
        <f>VLOOKUP(A22,A8:J17,4)</f>
        <v>Kong  Serey</v>
      </c>
      <c r="C22" s="1" t="str">
        <f>VLOOKUP(A22,A8:J17,5)</f>
        <v>M</v>
      </c>
      <c r="D22" s="19">
        <f>VLOOKUP(A22,A8:J17,6)</f>
        <v>23857</v>
      </c>
      <c r="E22" s="1" t="str">
        <f>VLOOKUP(A22,A8:J17,7)</f>
        <v>Security</v>
      </c>
      <c r="F22" s="184">
        <f>VLOOKUP(A22,A8:J17,8)</f>
        <v>170000</v>
      </c>
      <c r="G22" s="184">
        <f>VLOOKUP(A22,A8:J17,9)</f>
        <v>187000</v>
      </c>
      <c r="H22" s="200">
        <f>VLOOKUP(A22,A8:J17,10)</f>
        <v>46.75</v>
      </c>
      <c r="I22" s="91"/>
      <c r="J22" s="93"/>
    </row>
    <row r="23" spans="1:10" x14ac:dyDescent="0.25">
      <c r="A23" s="91"/>
      <c r="B23" s="92"/>
      <c r="C23" s="92"/>
      <c r="D23" s="92"/>
      <c r="E23" s="92"/>
      <c r="F23" s="92"/>
      <c r="G23" s="92"/>
      <c r="H23" s="92"/>
      <c r="I23" s="92"/>
      <c r="J23" s="93"/>
    </row>
    <row r="24" spans="1:10" x14ac:dyDescent="0.25">
      <c r="A24" s="91"/>
      <c r="B24" s="92"/>
      <c r="C24" s="92"/>
      <c r="D24" s="92"/>
      <c r="E24" s="92"/>
      <c r="F24" s="92"/>
      <c r="G24" s="92"/>
      <c r="H24" s="92"/>
      <c r="I24" s="92"/>
      <c r="J24" s="93"/>
    </row>
    <row r="25" spans="1:10" x14ac:dyDescent="0.25">
      <c r="A25" s="91"/>
      <c r="B25" s="92"/>
      <c r="C25" s="92"/>
      <c r="D25" s="92"/>
      <c r="E25" s="92"/>
      <c r="F25" s="92"/>
      <c r="G25" s="92"/>
      <c r="H25" s="92"/>
      <c r="I25" s="92"/>
      <c r="J25" s="93"/>
    </row>
    <row r="26" spans="1:10" x14ac:dyDescent="0.25">
      <c r="A26" s="91"/>
      <c r="B26" s="92"/>
      <c r="C26" s="92"/>
      <c r="D26" s="92"/>
      <c r="E26" s="92"/>
      <c r="F26" s="92"/>
      <c r="G26" s="92"/>
      <c r="H26" s="92"/>
      <c r="I26" s="92"/>
      <c r="J26" s="93"/>
    </row>
    <row r="27" spans="1:10" x14ac:dyDescent="0.25">
      <c r="A27" s="91"/>
      <c r="B27" s="92"/>
      <c r="C27" s="92"/>
      <c r="D27" s="92"/>
      <c r="E27" s="92"/>
      <c r="F27" s="92"/>
      <c r="G27" s="92"/>
      <c r="H27" s="92"/>
      <c r="I27" s="92"/>
      <c r="J27" s="93"/>
    </row>
    <row r="28" spans="1:10" x14ac:dyDescent="0.25">
      <c r="A28" s="91"/>
      <c r="B28" s="92"/>
      <c r="C28" s="92"/>
      <c r="D28" s="92"/>
      <c r="E28" s="92"/>
      <c r="F28" s="92"/>
      <c r="G28" s="92"/>
      <c r="H28" s="92"/>
      <c r="I28" s="92"/>
      <c r="J28" s="93"/>
    </row>
    <row r="29" spans="1:10" x14ac:dyDescent="0.25">
      <c r="A29" s="91"/>
      <c r="B29" s="92"/>
      <c r="C29" s="92"/>
      <c r="D29" s="92"/>
      <c r="E29" s="92"/>
      <c r="F29" s="92"/>
      <c r="G29" s="92"/>
      <c r="H29" s="92"/>
      <c r="I29" s="92"/>
      <c r="J29" s="93"/>
    </row>
    <row r="30" spans="1:10" x14ac:dyDescent="0.25">
      <c r="A30" s="91"/>
      <c r="B30" s="92"/>
      <c r="C30" s="92"/>
      <c r="D30" s="92"/>
      <c r="E30" s="92"/>
      <c r="F30" s="92"/>
      <c r="G30" s="92"/>
      <c r="H30" s="92"/>
      <c r="I30" s="92"/>
      <c r="J30" s="93"/>
    </row>
    <row r="31" spans="1:10" x14ac:dyDescent="0.25">
      <c r="A31" s="91"/>
      <c r="B31" s="92"/>
      <c r="C31" s="92"/>
      <c r="D31" s="92"/>
      <c r="E31" s="92"/>
      <c r="F31" s="92"/>
      <c r="G31" s="92"/>
      <c r="H31" s="92"/>
      <c r="I31" s="92"/>
      <c r="J31" s="93"/>
    </row>
    <row r="32" spans="1:10" x14ac:dyDescent="0.25">
      <c r="A32" s="91"/>
      <c r="B32" s="92"/>
      <c r="C32" s="92"/>
      <c r="D32" s="92"/>
      <c r="E32" s="92"/>
      <c r="F32" s="92"/>
      <c r="G32" s="92"/>
      <c r="H32" s="92"/>
      <c r="I32" s="92"/>
      <c r="J32" s="93"/>
    </row>
  </sheetData>
  <mergeCells count="1">
    <mergeCell ref="A1:J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J21"/>
  <sheetViews>
    <sheetView topLeftCell="B1" workbookViewId="0">
      <selection activeCell="G7" sqref="G7"/>
    </sheetView>
  </sheetViews>
  <sheetFormatPr defaultRowHeight="15" x14ac:dyDescent="0.25"/>
  <cols>
    <col min="1" max="1" width="7.7109375" customWidth="1"/>
    <col min="2" max="2" width="19" customWidth="1"/>
    <col min="3" max="3" width="6.7109375" customWidth="1"/>
    <col min="4" max="4" width="18.140625" customWidth="1"/>
    <col min="5" max="7" width="15.42578125" customWidth="1"/>
    <col min="8" max="8" width="22" customWidth="1"/>
    <col min="9" max="9" width="21" customWidth="1"/>
  </cols>
  <sheetData>
    <row r="2" spans="1:10" ht="26.25" x14ac:dyDescent="0.4">
      <c r="E2" s="172" t="s">
        <v>356</v>
      </c>
    </row>
    <row r="6" spans="1:10" ht="37.5" x14ac:dyDescent="0.25">
      <c r="A6" s="173" t="s">
        <v>129</v>
      </c>
      <c r="B6" s="173" t="s">
        <v>2</v>
      </c>
      <c r="C6" s="173" t="s">
        <v>74</v>
      </c>
      <c r="D6" s="173" t="s">
        <v>357</v>
      </c>
      <c r="E6" s="173" t="s">
        <v>11</v>
      </c>
      <c r="F6" s="173" t="s">
        <v>12</v>
      </c>
      <c r="G6" s="174" t="s">
        <v>358</v>
      </c>
      <c r="H6" s="173" t="s">
        <v>359</v>
      </c>
      <c r="I6" s="173" t="s">
        <v>360</v>
      </c>
    </row>
    <row r="7" spans="1:10" x14ac:dyDescent="0.25">
      <c r="A7" s="1">
        <v>1</v>
      </c>
      <c r="B7" s="1"/>
      <c r="C7" s="1" t="s">
        <v>22</v>
      </c>
      <c r="D7" s="175">
        <v>29323</v>
      </c>
      <c r="E7" s="1" t="s">
        <v>43</v>
      </c>
      <c r="F7" s="176">
        <v>150</v>
      </c>
      <c r="G7" s="23">
        <f>F7-(F7*5%)</f>
        <v>142.5</v>
      </c>
      <c r="H7" s="177">
        <f ca="1">DATEDIF(D7,NOW(),"Y")</f>
        <v>37</v>
      </c>
      <c r="I7" s="1"/>
    </row>
    <row r="8" spans="1:10" x14ac:dyDescent="0.25">
      <c r="A8" s="1">
        <v>2</v>
      </c>
      <c r="B8" s="1"/>
      <c r="C8" s="1" t="s">
        <v>27</v>
      </c>
      <c r="D8" s="175">
        <v>29955</v>
      </c>
      <c r="E8" s="1" t="s">
        <v>361</v>
      </c>
      <c r="F8" s="176">
        <v>100</v>
      </c>
      <c r="G8" s="23">
        <f t="shared" ref="G8:G11" si="0">F8-(F8*5%)</f>
        <v>95</v>
      </c>
      <c r="H8" s="177">
        <f t="shared" ref="H8:H11" ca="1" si="1">DATEDIF(D8,NOW(),"Y")</f>
        <v>35</v>
      </c>
      <c r="I8" s="1"/>
    </row>
    <row r="9" spans="1:10" x14ac:dyDescent="0.25">
      <c r="A9" s="1">
        <v>3</v>
      </c>
      <c r="B9" s="1"/>
      <c r="C9" s="1" t="s">
        <v>22</v>
      </c>
      <c r="D9" s="175">
        <v>30587</v>
      </c>
      <c r="E9" s="1" t="s">
        <v>362</v>
      </c>
      <c r="F9" s="176">
        <v>140</v>
      </c>
      <c r="G9" s="23">
        <f t="shared" si="0"/>
        <v>133</v>
      </c>
      <c r="H9" s="177">
        <f ca="1">DATEDIF(D9,NOW(),"Y")</f>
        <v>33</v>
      </c>
      <c r="I9" s="1"/>
    </row>
    <row r="10" spans="1:10" x14ac:dyDescent="0.25">
      <c r="A10" s="1">
        <v>4</v>
      </c>
      <c r="B10" s="1"/>
      <c r="C10" s="1" t="s">
        <v>22</v>
      </c>
      <c r="D10" s="175">
        <v>31219</v>
      </c>
      <c r="E10" s="1" t="s">
        <v>363</v>
      </c>
      <c r="F10" s="176">
        <v>120</v>
      </c>
      <c r="G10" s="23">
        <f t="shared" si="0"/>
        <v>114</v>
      </c>
      <c r="H10" s="177">
        <f t="shared" ca="1" si="1"/>
        <v>31</v>
      </c>
      <c r="I10" s="1"/>
    </row>
    <row r="11" spans="1:10" x14ac:dyDescent="0.25">
      <c r="A11" s="1">
        <v>5</v>
      </c>
      <c r="B11" s="1"/>
      <c r="C11" s="1" t="s">
        <v>27</v>
      </c>
      <c r="D11" s="175">
        <v>29660</v>
      </c>
      <c r="E11" s="1" t="s">
        <v>364</v>
      </c>
      <c r="F11" s="176">
        <v>180</v>
      </c>
      <c r="G11" s="23">
        <f t="shared" si="0"/>
        <v>171</v>
      </c>
      <c r="H11" s="177">
        <f t="shared" ca="1" si="1"/>
        <v>36</v>
      </c>
      <c r="I11" s="1"/>
    </row>
    <row r="12" spans="1:10" ht="18.75" x14ac:dyDescent="0.3">
      <c r="F12" s="206" t="s">
        <v>529</v>
      </c>
      <c r="G12" s="205">
        <f>SUM(G7:G11)</f>
        <v>655.5</v>
      </c>
    </row>
    <row r="14" spans="1:10" x14ac:dyDescent="0.25">
      <c r="J14" s="237">
        <f ca="1">DATEDIF(1/2/1997,NOW(),"M")</f>
        <v>1409</v>
      </c>
    </row>
    <row r="16" spans="1:10" x14ac:dyDescent="0.25">
      <c r="F16" s="202"/>
    </row>
    <row r="17" spans="1:8" x14ac:dyDescent="0.25">
      <c r="A17" t="s">
        <v>365</v>
      </c>
    </row>
    <row r="18" spans="1:8" ht="20.25" x14ac:dyDescent="0.55000000000000004">
      <c r="A18" s="201" t="s">
        <v>366</v>
      </c>
      <c r="B18" s="201"/>
      <c r="C18" s="201"/>
      <c r="D18" s="201"/>
      <c r="E18" s="201"/>
      <c r="F18" s="203" t="s">
        <v>12</v>
      </c>
      <c r="G18" s="204" t="s">
        <v>525</v>
      </c>
      <c r="H18" s="204"/>
    </row>
    <row r="19" spans="1:8" ht="20.25" x14ac:dyDescent="0.55000000000000004">
      <c r="A19" s="201" t="s">
        <v>519</v>
      </c>
      <c r="B19" s="201"/>
      <c r="C19" s="201"/>
      <c r="D19" s="201"/>
      <c r="E19" s="201"/>
      <c r="F19" s="203" t="s">
        <v>522</v>
      </c>
      <c r="G19" s="204" t="s">
        <v>526</v>
      </c>
      <c r="H19" s="204"/>
    </row>
    <row r="20" spans="1:8" ht="20.25" x14ac:dyDescent="0.55000000000000004">
      <c r="A20" s="201" t="s">
        <v>520</v>
      </c>
      <c r="B20" s="201"/>
      <c r="C20" s="201"/>
      <c r="D20" s="201"/>
      <c r="E20" s="201"/>
      <c r="F20" s="203" t="s">
        <v>523</v>
      </c>
      <c r="G20" s="204" t="s">
        <v>527</v>
      </c>
      <c r="H20" s="204"/>
    </row>
    <row r="21" spans="1:8" ht="20.25" x14ac:dyDescent="0.55000000000000004">
      <c r="A21" s="201" t="s">
        <v>521</v>
      </c>
      <c r="B21" s="201"/>
      <c r="C21" s="201"/>
      <c r="D21" s="201"/>
      <c r="E21" s="201"/>
      <c r="F21" s="203" t="s">
        <v>524</v>
      </c>
      <c r="G21" s="204" t="s">
        <v>528</v>
      </c>
      <c r="H21" s="204"/>
    </row>
  </sheetData>
  <pageMargins left="0.25" right="0.25" top="0.25" bottom="0.25" header="0.3" footer="0.3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28"/>
  <sheetViews>
    <sheetView workbookViewId="0">
      <selection activeCell="G36" sqref="G36"/>
    </sheetView>
  </sheetViews>
  <sheetFormatPr defaultRowHeight="15" x14ac:dyDescent="0.25"/>
  <cols>
    <col min="2" max="2" width="14.85546875" customWidth="1"/>
    <col min="3" max="3" width="6.7109375" customWidth="1"/>
    <col min="5" max="5" width="11.42578125" customWidth="1"/>
    <col min="8" max="8" width="10.85546875" customWidth="1"/>
  </cols>
  <sheetData>
    <row r="1" spans="1:15" x14ac:dyDescent="0.25">
      <c r="A1" s="364" t="s">
        <v>530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6"/>
    </row>
    <row r="2" spans="1:15" x14ac:dyDescent="0.25">
      <c r="A2" s="367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9"/>
    </row>
    <row r="3" spans="1:15" x14ac:dyDescent="0.25">
      <c r="A3" s="367"/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9"/>
    </row>
    <row r="4" spans="1:15" x14ac:dyDescent="0.25">
      <c r="A4" s="370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2"/>
    </row>
    <row r="5" spans="1:15" ht="45" customHeight="1" x14ac:dyDescent="0.25">
      <c r="A5" s="85" t="s">
        <v>531</v>
      </c>
      <c r="B5" s="212" t="s">
        <v>532</v>
      </c>
      <c r="C5" s="85" t="s">
        <v>74</v>
      </c>
      <c r="D5" s="85" t="s">
        <v>533</v>
      </c>
      <c r="E5" s="85" t="s">
        <v>534</v>
      </c>
      <c r="F5" s="85" t="s">
        <v>535</v>
      </c>
      <c r="G5" s="85" t="s">
        <v>536</v>
      </c>
      <c r="H5" s="85" t="s">
        <v>537</v>
      </c>
      <c r="I5" s="85" t="s">
        <v>107</v>
      </c>
      <c r="J5" s="85" t="s">
        <v>538</v>
      </c>
      <c r="K5" s="85" t="s">
        <v>539</v>
      </c>
      <c r="L5" s="85" t="s">
        <v>281</v>
      </c>
      <c r="M5" s="85" t="s">
        <v>540</v>
      </c>
      <c r="N5" s="85" t="s">
        <v>541</v>
      </c>
      <c r="O5" s="85" t="s">
        <v>542</v>
      </c>
    </row>
    <row r="6" spans="1:15" x14ac:dyDescent="0.25">
      <c r="A6" s="167">
        <v>1</v>
      </c>
      <c r="B6" s="1" t="s">
        <v>543</v>
      </c>
      <c r="C6" s="1" t="s">
        <v>22</v>
      </c>
      <c r="D6" s="214">
        <v>95</v>
      </c>
      <c r="E6" s="214">
        <v>90</v>
      </c>
      <c r="F6" s="214">
        <v>50</v>
      </c>
      <c r="G6" s="214">
        <v>50</v>
      </c>
      <c r="H6" s="214">
        <v>50</v>
      </c>
      <c r="I6" s="165">
        <f>SUM(D6:H6)</f>
        <v>335</v>
      </c>
      <c r="J6" s="165">
        <f>MAX(D6:H6)</f>
        <v>95</v>
      </c>
      <c r="K6" s="165">
        <f>MIN(D6:H6)</f>
        <v>50</v>
      </c>
      <c r="L6" s="165">
        <f>AVERAGE(D6:H6)</f>
        <v>67</v>
      </c>
      <c r="M6" s="85" t="str">
        <f>IF(L6&gt;=35,"Pass","Fail")</f>
        <v>Pass</v>
      </c>
      <c r="N6" s="85" t="str">
        <f>IF(L6&lt;35,"Weak",IF(L6&lt;50,"Medium",IF(L6&lt;60,"Good",IF(L6&lt;67,"Very Good","Excellent"))))</f>
        <v>Excellent</v>
      </c>
      <c r="O6" s="85">
        <f>RANK(L6,$L$6:$L$21)</f>
        <v>1</v>
      </c>
    </row>
    <row r="7" spans="1:15" x14ac:dyDescent="0.25">
      <c r="A7" s="167">
        <v>2</v>
      </c>
      <c r="B7" s="1" t="s">
        <v>544</v>
      </c>
      <c r="C7" s="1" t="s">
        <v>22</v>
      </c>
      <c r="D7" s="214">
        <v>45</v>
      </c>
      <c r="E7" s="214">
        <v>45</v>
      </c>
      <c r="F7" s="214">
        <v>28</v>
      </c>
      <c r="G7" s="214">
        <v>22</v>
      </c>
      <c r="H7" s="214">
        <v>20</v>
      </c>
      <c r="I7" s="165">
        <f t="shared" ref="I7:I21" si="0">SUM(D7:H7)</f>
        <v>160</v>
      </c>
      <c r="J7" s="165">
        <f t="shared" ref="J7:J21" si="1">MAX(D7:H7)</f>
        <v>45</v>
      </c>
      <c r="K7" s="165">
        <f t="shared" ref="K7:K21" si="2">MIN(D7:H7)</f>
        <v>20</v>
      </c>
      <c r="L7" s="165">
        <f t="shared" ref="L7:L21" si="3">AVERAGE(D7:H7)</f>
        <v>32</v>
      </c>
      <c r="M7" s="85" t="str">
        <f t="shared" ref="M7:M21" si="4">IF(L7&gt;=35,"Pass","Fail")</f>
        <v>Fail</v>
      </c>
      <c r="N7" s="85" t="str">
        <f t="shared" ref="N7:N20" si="5">IF(L7&lt;35,"Weak",IF(L7&lt;50,"Medium",IF(L7&lt;60,"Good",IF(L7&lt;67,"Very Good","Excellent"))))</f>
        <v>Weak</v>
      </c>
      <c r="O7" s="85">
        <f t="shared" ref="O7:O21" si="6">RANK(L7,$L$6:$L$21)</f>
        <v>16</v>
      </c>
    </row>
    <row r="8" spans="1:15" x14ac:dyDescent="0.25">
      <c r="A8" s="167">
        <v>3</v>
      </c>
      <c r="B8" s="1" t="s">
        <v>556</v>
      </c>
      <c r="C8" s="1" t="s">
        <v>27</v>
      </c>
      <c r="D8" s="214">
        <v>75</v>
      </c>
      <c r="E8" s="214">
        <v>55</v>
      </c>
      <c r="F8" s="214">
        <v>12</v>
      </c>
      <c r="G8" s="214">
        <v>42.8</v>
      </c>
      <c r="H8" s="214">
        <v>44.2</v>
      </c>
      <c r="I8" s="165">
        <f t="shared" si="0"/>
        <v>229</v>
      </c>
      <c r="J8" s="165">
        <f t="shared" si="1"/>
        <v>75</v>
      </c>
      <c r="K8" s="165">
        <f t="shared" si="2"/>
        <v>12</v>
      </c>
      <c r="L8" s="165">
        <f t="shared" si="3"/>
        <v>45.8</v>
      </c>
      <c r="M8" s="85" t="str">
        <f t="shared" si="4"/>
        <v>Pass</v>
      </c>
      <c r="N8" s="85" t="str">
        <f t="shared" si="5"/>
        <v>Medium</v>
      </c>
      <c r="O8" s="85">
        <f t="shared" si="6"/>
        <v>4</v>
      </c>
    </row>
    <row r="9" spans="1:15" x14ac:dyDescent="0.25">
      <c r="A9" s="167">
        <v>4</v>
      </c>
      <c r="B9" s="1" t="s">
        <v>545</v>
      </c>
      <c r="C9" s="213" t="s">
        <v>22</v>
      </c>
      <c r="D9" s="214">
        <v>65</v>
      </c>
      <c r="E9" s="214">
        <v>70</v>
      </c>
      <c r="F9" s="214">
        <v>32</v>
      </c>
      <c r="G9" s="214">
        <v>18.899999999999999</v>
      </c>
      <c r="H9" s="214">
        <v>42.7</v>
      </c>
      <c r="I9" s="165">
        <f t="shared" si="0"/>
        <v>228.60000000000002</v>
      </c>
      <c r="J9" s="165">
        <f t="shared" si="1"/>
        <v>70</v>
      </c>
      <c r="K9" s="165">
        <f t="shared" si="2"/>
        <v>18.899999999999999</v>
      </c>
      <c r="L9" s="165">
        <f t="shared" si="3"/>
        <v>45.720000000000006</v>
      </c>
      <c r="M9" s="85" t="str">
        <f t="shared" si="4"/>
        <v>Pass</v>
      </c>
      <c r="N9" s="85" t="str">
        <f t="shared" si="5"/>
        <v>Medium</v>
      </c>
      <c r="O9" s="85">
        <f t="shared" si="6"/>
        <v>5</v>
      </c>
    </row>
    <row r="10" spans="1:15" x14ac:dyDescent="0.25">
      <c r="A10" s="167">
        <v>5</v>
      </c>
      <c r="B10" s="1" t="s">
        <v>546</v>
      </c>
      <c r="C10" s="213" t="s">
        <v>27</v>
      </c>
      <c r="D10" s="214">
        <v>50</v>
      </c>
      <c r="E10" s="214">
        <v>50</v>
      </c>
      <c r="F10" s="214">
        <v>45</v>
      </c>
      <c r="G10" s="214">
        <v>12.8</v>
      </c>
      <c r="H10" s="214">
        <v>35.200000000000003</v>
      </c>
      <c r="I10" s="165">
        <f t="shared" si="0"/>
        <v>193</v>
      </c>
      <c r="J10" s="165">
        <f t="shared" si="1"/>
        <v>50</v>
      </c>
      <c r="K10" s="165">
        <f t="shared" si="2"/>
        <v>12.8</v>
      </c>
      <c r="L10" s="165">
        <f t="shared" si="3"/>
        <v>38.6</v>
      </c>
      <c r="M10" s="85" t="str">
        <f t="shared" si="4"/>
        <v>Pass</v>
      </c>
      <c r="N10" s="85" t="str">
        <f t="shared" si="5"/>
        <v>Medium</v>
      </c>
      <c r="O10" s="85">
        <f t="shared" si="6"/>
        <v>10</v>
      </c>
    </row>
    <row r="11" spans="1:15" x14ac:dyDescent="0.25">
      <c r="A11" s="167">
        <v>6</v>
      </c>
      <c r="B11" s="1" t="s">
        <v>547</v>
      </c>
      <c r="C11" s="213" t="s">
        <v>27</v>
      </c>
      <c r="D11" s="214">
        <v>42</v>
      </c>
      <c r="E11" s="214">
        <v>45</v>
      </c>
      <c r="F11" s="214">
        <v>22</v>
      </c>
      <c r="G11" s="214">
        <v>18.7</v>
      </c>
      <c r="H11" s="214">
        <v>41.8</v>
      </c>
      <c r="I11" s="165">
        <f t="shared" si="0"/>
        <v>169.5</v>
      </c>
      <c r="J11" s="165">
        <f t="shared" si="1"/>
        <v>45</v>
      </c>
      <c r="K11" s="165">
        <f t="shared" si="2"/>
        <v>18.7</v>
      </c>
      <c r="L11" s="165">
        <f t="shared" si="3"/>
        <v>33.9</v>
      </c>
      <c r="M11" s="85" t="str">
        <f t="shared" si="4"/>
        <v>Fail</v>
      </c>
      <c r="N11" s="85" t="str">
        <f t="shared" si="5"/>
        <v>Weak</v>
      </c>
      <c r="O11" s="85">
        <f t="shared" si="6"/>
        <v>13</v>
      </c>
    </row>
    <row r="12" spans="1:15" x14ac:dyDescent="0.25">
      <c r="A12" s="167">
        <v>7</v>
      </c>
      <c r="B12" s="1" t="s">
        <v>548</v>
      </c>
      <c r="C12" s="213" t="s">
        <v>27</v>
      </c>
      <c r="D12" s="214">
        <v>47</v>
      </c>
      <c r="E12" s="214">
        <v>50</v>
      </c>
      <c r="F12" s="214">
        <v>38</v>
      </c>
      <c r="G12" s="214">
        <v>12.4</v>
      </c>
      <c r="H12" s="214">
        <v>24.8</v>
      </c>
      <c r="I12" s="165">
        <f t="shared" si="0"/>
        <v>172.20000000000002</v>
      </c>
      <c r="J12" s="165">
        <f t="shared" si="1"/>
        <v>50</v>
      </c>
      <c r="K12" s="165">
        <f t="shared" si="2"/>
        <v>12.4</v>
      </c>
      <c r="L12" s="165">
        <f t="shared" si="3"/>
        <v>34.440000000000005</v>
      </c>
      <c r="M12" s="85" t="str">
        <f t="shared" si="4"/>
        <v>Fail</v>
      </c>
      <c r="N12" s="85" t="str">
        <f t="shared" si="5"/>
        <v>Weak</v>
      </c>
      <c r="O12" s="85">
        <f t="shared" si="6"/>
        <v>12</v>
      </c>
    </row>
    <row r="13" spans="1:15" x14ac:dyDescent="0.25">
      <c r="A13" s="167">
        <v>8</v>
      </c>
      <c r="B13" s="1" t="s">
        <v>460</v>
      </c>
      <c r="C13" s="1" t="s">
        <v>22</v>
      </c>
      <c r="D13" s="214">
        <v>68</v>
      </c>
      <c r="E13" s="214">
        <v>50</v>
      </c>
      <c r="F13" s="214">
        <v>49</v>
      </c>
      <c r="G13" s="214">
        <v>27.02</v>
      </c>
      <c r="H13" s="214">
        <v>27.5</v>
      </c>
      <c r="I13" s="165">
        <f t="shared" si="0"/>
        <v>221.52</v>
      </c>
      <c r="J13" s="165">
        <f t="shared" si="1"/>
        <v>68</v>
      </c>
      <c r="K13" s="165">
        <f t="shared" si="2"/>
        <v>27.02</v>
      </c>
      <c r="L13" s="165">
        <f t="shared" si="3"/>
        <v>44.304000000000002</v>
      </c>
      <c r="M13" s="85" t="str">
        <f t="shared" si="4"/>
        <v>Pass</v>
      </c>
      <c r="N13" s="85" t="str">
        <f t="shared" si="5"/>
        <v>Medium</v>
      </c>
      <c r="O13" s="85">
        <f t="shared" si="6"/>
        <v>6</v>
      </c>
    </row>
    <row r="14" spans="1:15" x14ac:dyDescent="0.25">
      <c r="A14" s="167">
        <v>9</v>
      </c>
      <c r="B14" s="1" t="s">
        <v>549</v>
      </c>
      <c r="C14" s="1" t="s">
        <v>22</v>
      </c>
      <c r="D14" s="214">
        <v>100</v>
      </c>
      <c r="E14" s="214">
        <v>80</v>
      </c>
      <c r="F14" s="214">
        <v>19</v>
      </c>
      <c r="G14" s="214">
        <v>28.06</v>
      </c>
      <c r="H14" s="214">
        <v>8.1999999999999993</v>
      </c>
      <c r="I14" s="165">
        <f t="shared" si="0"/>
        <v>235.26</v>
      </c>
      <c r="J14" s="165">
        <f t="shared" si="1"/>
        <v>100</v>
      </c>
      <c r="K14" s="165">
        <f t="shared" si="2"/>
        <v>8.1999999999999993</v>
      </c>
      <c r="L14" s="165">
        <f t="shared" si="3"/>
        <v>47.052</v>
      </c>
      <c r="M14" s="85" t="str">
        <f t="shared" si="4"/>
        <v>Pass</v>
      </c>
      <c r="N14" s="85" t="str">
        <f t="shared" si="5"/>
        <v>Medium</v>
      </c>
      <c r="O14" s="85">
        <f t="shared" si="6"/>
        <v>3</v>
      </c>
    </row>
    <row r="15" spans="1:15" x14ac:dyDescent="0.25">
      <c r="A15" s="167">
        <v>10</v>
      </c>
      <c r="B15" s="1" t="s">
        <v>550</v>
      </c>
      <c r="C15" s="1" t="s">
        <v>27</v>
      </c>
      <c r="D15" s="214">
        <v>50</v>
      </c>
      <c r="E15" s="214">
        <v>40</v>
      </c>
      <c r="F15" s="214">
        <v>50</v>
      </c>
      <c r="G15" s="214">
        <v>15.4</v>
      </c>
      <c r="H15" s="214">
        <v>22.5</v>
      </c>
      <c r="I15" s="165">
        <f t="shared" si="0"/>
        <v>177.9</v>
      </c>
      <c r="J15" s="165">
        <f t="shared" si="1"/>
        <v>50</v>
      </c>
      <c r="K15" s="165">
        <f t="shared" si="2"/>
        <v>15.4</v>
      </c>
      <c r="L15" s="165">
        <f t="shared" si="3"/>
        <v>35.58</v>
      </c>
      <c r="M15" s="85" t="str">
        <f t="shared" si="4"/>
        <v>Pass</v>
      </c>
      <c r="N15" s="85" t="str">
        <f t="shared" si="5"/>
        <v>Medium</v>
      </c>
      <c r="O15" s="85">
        <f t="shared" si="6"/>
        <v>11</v>
      </c>
    </row>
    <row r="16" spans="1:15" x14ac:dyDescent="0.25">
      <c r="A16" s="167">
        <v>11</v>
      </c>
      <c r="B16" s="1" t="s">
        <v>551</v>
      </c>
      <c r="C16" s="1" t="s">
        <v>22</v>
      </c>
      <c r="D16" s="214">
        <v>45</v>
      </c>
      <c r="E16" s="214">
        <v>60</v>
      </c>
      <c r="F16" s="214">
        <v>38</v>
      </c>
      <c r="G16" s="214">
        <v>14.5</v>
      </c>
      <c r="H16" s="214">
        <v>50</v>
      </c>
      <c r="I16" s="165">
        <f t="shared" si="0"/>
        <v>207.5</v>
      </c>
      <c r="J16" s="165">
        <f t="shared" si="1"/>
        <v>60</v>
      </c>
      <c r="K16" s="165">
        <f t="shared" si="2"/>
        <v>14.5</v>
      </c>
      <c r="L16" s="165">
        <f t="shared" si="3"/>
        <v>41.5</v>
      </c>
      <c r="M16" s="85" t="str">
        <f t="shared" si="4"/>
        <v>Pass</v>
      </c>
      <c r="N16" s="85" t="str">
        <f t="shared" si="5"/>
        <v>Medium</v>
      </c>
      <c r="O16" s="85">
        <f t="shared" si="6"/>
        <v>7</v>
      </c>
    </row>
    <row r="17" spans="1:15" x14ac:dyDescent="0.25">
      <c r="A17" s="167">
        <v>12</v>
      </c>
      <c r="B17" s="1" t="s">
        <v>552</v>
      </c>
      <c r="C17" s="1" t="s">
        <v>27</v>
      </c>
      <c r="D17" s="214">
        <v>55</v>
      </c>
      <c r="E17" s="214">
        <v>40</v>
      </c>
      <c r="F17" s="214">
        <v>30</v>
      </c>
      <c r="G17" s="214">
        <v>23</v>
      </c>
      <c r="H17" s="214">
        <v>16.7</v>
      </c>
      <c r="I17" s="165">
        <f t="shared" si="0"/>
        <v>164.7</v>
      </c>
      <c r="J17" s="165">
        <f t="shared" si="1"/>
        <v>55</v>
      </c>
      <c r="K17" s="165">
        <f t="shared" si="2"/>
        <v>16.7</v>
      </c>
      <c r="L17" s="165">
        <f t="shared" si="3"/>
        <v>32.94</v>
      </c>
      <c r="M17" s="85" t="str">
        <f t="shared" si="4"/>
        <v>Fail</v>
      </c>
      <c r="N17" s="85" t="str">
        <f t="shared" si="5"/>
        <v>Weak</v>
      </c>
      <c r="O17" s="85">
        <f t="shared" si="6"/>
        <v>15</v>
      </c>
    </row>
    <row r="18" spans="1:15" x14ac:dyDescent="0.25">
      <c r="A18" s="167">
        <v>13</v>
      </c>
      <c r="B18" s="1" t="s">
        <v>553</v>
      </c>
      <c r="C18" s="1" t="s">
        <v>27</v>
      </c>
      <c r="D18" s="214">
        <v>85</v>
      </c>
      <c r="E18" s="214">
        <v>75</v>
      </c>
      <c r="F18" s="214">
        <v>45</v>
      </c>
      <c r="G18" s="214">
        <v>45</v>
      </c>
      <c r="H18" s="214">
        <v>50</v>
      </c>
      <c r="I18" s="165">
        <f t="shared" si="0"/>
        <v>300</v>
      </c>
      <c r="J18" s="165">
        <f t="shared" si="1"/>
        <v>85</v>
      </c>
      <c r="K18" s="165">
        <f t="shared" si="2"/>
        <v>45</v>
      </c>
      <c r="L18" s="165">
        <f t="shared" si="3"/>
        <v>60</v>
      </c>
      <c r="M18" s="85" t="str">
        <f t="shared" si="4"/>
        <v>Pass</v>
      </c>
      <c r="N18" s="85" t="str">
        <f t="shared" si="5"/>
        <v>Very Good</v>
      </c>
      <c r="O18" s="85">
        <f t="shared" si="6"/>
        <v>2</v>
      </c>
    </row>
    <row r="19" spans="1:15" x14ac:dyDescent="0.25">
      <c r="A19" s="167">
        <v>14</v>
      </c>
      <c r="B19" s="1" t="s">
        <v>554</v>
      </c>
      <c r="C19" s="1" t="s">
        <v>22</v>
      </c>
      <c r="D19" s="214">
        <v>56</v>
      </c>
      <c r="E19" s="214">
        <v>72</v>
      </c>
      <c r="F19" s="214">
        <v>27</v>
      </c>
      <c r="G19" s="214">
        <v>29.7</v>
      </c>
      <c r="H19" s="214">
        <v>14.2</v>
      </c>
      <c r="I19" s="165">
        <f t="shared" si="0"/>
        <v>198.89999999999998</v>
      </c>
      <c r="J19" s="165">
        <f t="shared" si="1"/>
        <v>72</v>
      </c>
      <c r="K19" s="165">
        <f t="shared" si="2"/>
        <v>14.2</v>
      </c>
      <c r="L19" s="165">
        <f t="shared" si="3"/>
        <v>39.779999999999994</v>
      </c>
      <c r="M19" s="85" t="str">
        <f t="shared" si="4"/>
        <v>Pass</v>
      </c>
      <c r="N19" s="85" t="str">
        <f t="shared" si="5"/>
        <v>Medium</v>
      </c>
      <c r="O19" s="85">
        <f t="shared" si="6"/>
        <v>8</v>
      </c>
    </row>
    <row r="20" spans="1:15" x14ac:dyDescent="0.25">
      <c r="A20" s="167">
        <v>15</v>
      </c>
      <c r="B20" s="1" t="s">
        <v>555</v>
      </c>
      <c r="C20" s="1" t="s">
        <v>22</v>
      </c>
      <c r="D20" s="214">
        <v>42</v>
      </c>
      <c r="E20" s="214">
        <v>44</v>
      </c>
      <c r="F20" s="214">
        <v>46</v>
      </c>
      <c r="G20" s="214">
        <v>25.4</v>
      </c>
      <c r="H20" s="214">
        <v>9.57</v>
      </c>
      <c r="I20" s="165">
        <f t="shared" si="0"/>
        <v>166.97</v>
      </c>
      <c r="J20" s="165">
        <f t="shared" si="1"/>
        <v>46</v>
      </c>
      <c r="K20" s="165">
        <f t="shared" si="2"/>
        <v>9.57</v>
      </c>
      <c r="L20" s="165">
        <f t="shared" si="3"/>
        <v>33.393999999999998</v>
      </c>
      <c r="M20" s="85" t="str">
        <f t="shared" si="4"/>
        <v>Fail</v>
      </c>
      <c r="N20" s="85" t="str">
        <f t="shared" si="5"/>
        <v>Weak</v>
      </c>
      <c r="O20" s="85">
        <f t="shared" si="6"/>
        <v>14</v>
      </c>
    </row>
    <row r="21" spans="1:15" x14ac:dyDescent="0.25">
      <c r="A21" s="167">
        <v>16</v>
      </c>
      <c r="B21" s="1" t="s">
        <v>557</v>
      </c>
      <c r="C21" s="1" t="s">
        <v>27</v>
      </c>
      <c r="D21" s="214">
        <v>42</v>
      </c>
      <c r="E21" s="214">
        <v>56</v>
      </c>
      <c r="F21" s="214">
        <v>35</v>
      </c>
      <c r="G21" s="214">
        <v>42</v>
      </c>
      <c r="H21" s="214">
        <v>23</v>
      </c>
      <c r="I21" s="165">
        <f t="shared" si="0"/>
        <v>198</v>
      </c>
      <c r="J21" s="165">
        <f t="shared" si="1"/>
        <v>56</v>
      </c>
      <c r="K21" s="165">
        <f t="shared" si="2"/>
        <v>23</v>
      </c>
      <c r="L21" s="165">
        <f t="shared" si="3"/>
        <v>39.6</v>
      </c>
      <c r="M21" s="85" t="str">
        <f t="shared" si="4"/>
        <v>Pass</v>
      </c>
      <c r="N21" s="85" t="str">
        <f>IF(L21&lt;35,"Weak",IF(L21&lt;50,"Medium",IF(L21&lt;60,"Good",IF(L21&lt;67,"Very Good","Excellent"))))</f>
        <v>Medium</v>
      </c>
      <c r="O21" s="85">
        <f t="shared" si="6"/>
        <v>9</v>
      </c>
    </row>
    <row r="22" spans="1:15" x14ac:dyDescent="0.25">
      <c r="A22" s="9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166"/>
    </row>
    <row r="23" spans="1:15" x14ac:dyDescent="0.2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373" t="s">
        <v>560</v>
      </c>
      <c r="M23" s="374"/>
      <c r="N23" s="85" t="s">
        <v>558</v>
      </c>
      <c r="O23" s="85" t="s">
        <v>559</v>
      </c>
    </row>
    <row r="24" spans="1:15" x14ac:dyDescent="0.2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373"/>
      <c r="M24" s="374"/>
      <c r="N24" s="85">
        <f>COUNTIF(M6:M21,"Pass")</f>
        <v>11</v>
      </c>
      <c r="O24" s="85">
        <f>COUNTIF(M6:M21,"Fail")</f>
        <v>5</v>
      </c>
    </row>
    <row r="25" spans="1:15" x14ac:dyDescent="0.2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8" x14ac:dyDescent="0.45">
      <c r="A26" s="91" t="s">
        <v>402</v>
      </c>
      <c r="B26" s="215" t="s">
        <v>561</v>
      </c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92"/>
      <c r="O26" s="93"/>
    </row>
    <row r="27" spans="1:15" ht="18" x14ac:dyDescent="0.45">
      <c r="A27" s="91"/>
      <c r="B27" s="215" t="s">
        <v>562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92"/>
      <c r="O27" s="93"/>
    </row>
    <row r="28" spans="1:15" x14ac:dyDescent="0.2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8"/>
    </row>
  </sheetData>
  <mergeCells count="2">
    <mergeCell ref="A1:O4"/>
    <mergeCell ref="L23:M24"/>
  </mergeCells>
  <pageMargins left="0.25" right="0.25" top="0.75" bottom="0.75" header="0.3" footer="0.3"/>
  <pageSetup paperSize="9" scale="92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39"/>
  <sheetViews>
    <sheetView topLeftCell="A4" workbookViewId="0">
      <selection activeCell="E40" sqref="E40"/>
    </sheetView>
  </sheetViews>
  <sheetFormatPr defaultRowHeight="15" x14ac:dyDescent="0.25"/>
  <cols>
    <col min="1" max="1" width="5" customWidth="1"/>
    <col min="2" max="2" width="21.85546875" customWidth="1"/>
    <col min="3" max="3" width="6.140625" customWidth="1"/>
    <col min="4" max="4" width="20.5703125" customWidth="1"/>
    <col min="5" max="5" width="20" customWidth="1"/>
    <col min="6" max="6" width="11.28515625" customWidth="1"/>
    <col min="7" max="7" width="18.28515625" customWidth="1"/>
  </cols>
  <sheetData>
    <row r="1" spans="1:7" x14ac:dyDescent="0.25">
      <c r="A1" s="378" t="s">
        <v>468</v>
      </c>
      <c r="B1" s="378"/>
      <c r="C1" s="378"/>
      <c r="D1" s="378"/>
      <c r="E1" s="378"/>
      <c r="F1" s="378"/>
      <c r="G1" s="378"/>
    </row>
    <row r="2" spans="1:7" x14ac:dyDescent="0.25">
      <c r="A2" s="378"/>
      <c r="B2" s="378"/>
      <c r="C2" s="378"/>
      <c r="D2" s="378"/>
      <c r="E2" s="378"/>
      <c r="F2" s="378"/>
      <c r="G2" s="378"/>
    </row>
    <row r="3" spans="1:7" x14ac:dyDescent="0.25">
      <c r="A3" s="349" t="s">
        <v>469</v>
      </c>
      <c r="B3" s="349"/>
      <c r="C3" s="349"/>
      <c r="D3" s="349"/>
      <c r="E3" s="349"/>
      <c r="F3" s="349"/>
      <c r="G3" s="349"/>
    </row>
    <row r="4" spans="1:7" x14ac:dyDescent="0.25">
      <c r="A4" s="1" t="s">
        <v>130</v>
      </c>
      <c r="B4" s="1" t="s">
        <v>470</v>
      </c>
      <c r="C4" s="1" t="s">
        <v>176</v>
      </c>
      <c r="D4" s="1" t="s">
        <v>471</v>
      </c>
      <c r="E4" s="1" t="s">
        <v>472</v>
      </c>
      <c r="F4" s="1" t="s">
        <v>473</v>
      </c>
      <c r="G4" s="1" t="s">
        <v>474</v>
      </c>
    </row>
    <row r="5" spans="1:7" x14ac:dyDescent="0.25">
      <c r="A5" s="167">
        <v>1</v>
      </c>
      <c r="B5" s="1" t="s">
        <v>475</v>
      </c>
      <c r="C5" s="1" t="s">
        <v>22</v>
      </c>
      <c r="D5" s="103">
        <v>28852</v>
      </c>
      <c r="E5" s="1" t="s">
        <v>23</v>
      </c>
      <c r="F5" s="1" t="s">
        <v>33</v>
      </c>
      <c r="G5" s="176">
        <v>500</v>
      </c>
    </row>
    <row r="6" spans="1:7" x14ac:dyDescent="0.25">
      <c r="A6" s="167">
        <v>2</v>
      </c>
      <c r="B6" s="1" t="s">
        <v>476</v>
      </c>
      <c r="C6" s="1" t="s">
        <v>27</v>
      </c>
      <c r="D6" s="103">
        <v>27783</v>
      </c>
      <c r="E6" s="1" t="s">
        <v>23</v>
      </c>
      <c r="F6" s="1" t="s">
        <v>477</v>
      </c>
      <c r="G6" s="176">
        <v>150</v>
      </c>
    </row>
    <row r="7" spans="1:7" x14ac:dyDescent="0.25">
      <c r="A7" s="167">
        <v>3</v>
      </c>
      <c r="B7" s="1" t="s">
        <v>478</v>
      </c>
      <c r="C7" s="1" t="s">
        <v>27</v>
      </c>
      <c r="D7" s="103">
        <v>28677</v>
      </c>
      <c r="E7" s="1" t="s">
        <v>23</v>
      </c>
      <c r="F7" s="1" t="s">
        <v>363</v>
      </c>
      <c r="G7" s="176">
        <v>120</v>
      </c>
    </row>
    <row r="8" spans="1:7" x14ac:dyDescent="0.25">
      <c r="A8" s="167">
        <v>4</v>
      </c>
      <c r="B8" s="1" t="s">
        <v>479</v>
      </c>
      <c r="C8" s="1" t="s">
        <v>22</v>
      </c>
      <c r="D8" s="103">
        <v>27124</v>
      </c>
      <c r="E8" s="1" t="s">
        <v>23</v>
      </c>
      <c r="F8" s="1" t="s">
        <v>480</v>
      </c>
      <c r="G8" s="176">
        <v>300</v>
      </c>
    </row>
    <row r="9" spans="1:7" x14ac:dyDescent="0.25">
      <c r="A9" s="167">
        <v>5</v>
      </c>
      <c r="B9" s="1" t="s">
        <v>481</v>
      </c>
      <c r="C9" s="1" t="s">
        <v>22</v>
      </c>
      <c r="D9" s="103">
        <v>27820</v>
      </c>
      <c r="E9" s="1" t="s">
        <v>482</v>
      </c>
      <c r="F9" s="1" t="s">
        <v>477</v>
      </c>
      <c r="G9" s="176">
        <v>150</v>
      </c>
    </row>
    <row r="10" spans="1:7" x14ac:dyDescent="0.25">
      <c r="A10" s="167">
        <v>6</v>
      </c>
      <c r="B10" s="1" t="s">
        <v>483</v>
      </c>
      <c r="C10" s="1" t="s">
        <v>22</v>
      </c>
      <c r="D10" s="103">
        <v>28856</v>
      </c>
      <c r="E10" s="1" t="s">
        <v>68</v>
      </c>
      <c r="F10" s="1" t="s">
        <v>33</v>
      </c>
      <c r="G10" s="176">
        <v>400</v>
      </c>
    </row>
    <row r="11" spans="1:7" x14ac:dyDescent="0.25">
      <c r="A11" s="167">
        <v>7</v>
      </c>
      <c r="B11" s="1" t="s">
        <v>484</v>
      </c>
      <c r="C11" s="1" t="s">
        <v>22</v>
      </c>
      <c r="D11" s="103">
        <v>27882</v>
      </c>
      <c r="E11" s="1" t="s">
        <v>68</v>
      </c>
      <c r="F11" s="1" t="s">
        <v>477</v>
      </c>
      <c r="G11" s="176">
        <v>150</v>
      </c>
    </row>
    <row r="12" spans="1:7" x14ac:dyDescent="0.25">
      <c r="A12" s="167">
        <v>8</v>
      </c>
      <c r="B12" s="1" t="s">
        <v>485</v>
      </c>
      <c r="C12" s="1" t="s">
        <v>27</v>
      </c>
      <c r="D12" s="103">
        <v>28439</v>
      </c>
      <c r="E12" s="1" t="s">
        <v>23</v>
      </c>
      <c r="F12" s="1" t="s">
        <v>477</v>
      </c>
      <c r="G12" s="176">
        <v>140</v>
      </c>
    </row>
    <row r="13" spans="1:7" x14ac:dyDescent="0.25">
      <c r="A13" s="167">
        <v>9</v>
      </c>
      <c r="B13" s="1" t="s">
        <v>486</v>
      </c>
      <c r="C13" s="1" t="s">
        <v>22</v>
      </c>
      <c r="D13" s="103">
        <v>27188</v>
      </c>
      <c r="E13" s="1" t="s">
        <v>68</v>
      </c>
      <c r="F13" s="1" t="s">
        <v>363</v>
      </c>
      <c r="G13" s="176">
        <v>130</v>
      </c>
    </row>
    <row r="14" spans="1:7" x14ac:dyDescent="0.25">
      <c r="A14" s="167">
        <v>10</v>
      </c>
      <c r="B14" s="1" t="s">
        <v>487</v>
      </c>
      <c r="C14" s="1" t="s">
        <v>22</v>
      </c>
      <c r="D14" s="103">
        <v>27518</v>
      </c>
      <c r="E14" s="1" t="s">
        <v>23</v>
      </c>
      <c r="F14" s="1" t="s">
        <v>477</v>
      </c>
      <c r="G14" s="176">
        <v>120</v>
      </c>
    </row>
    <row r="15" spans="1:7" x14ac:dyDescent="0.25">
      <c r="A15" s="167">
        <v>11</v>
      </c>
      <c r="B15" s="1" t="s">
        <v>488</v>
      </c>
      <c r="C15" s="1" t="s">
        <v>22</v>
      </c>
      <c r="D15" s="103">
        <v>28125</v>
      </c>
      <c r="E15" s="1" t="s">
        <v>23</v>
      </c>
      <c r="F15" s="1" t="s">
        <v>477</v>
      </c>
      <c r="G15" s="176">
        <v>150</v>
      </c>
    </row>
    <row r="16" spans="1:7" x14ac:dyDescent="0.25">
      <c r="A16" s="167">
        <v>12</v>
      </c>
      <c r="B16" s="1" t="s">
        <v>489</v>
      </c>
      <c r="C16" s="1" t="s">
        <v>22</v>
      </c>
      <c r="D16" s="103">
        <v>26638</v>
      </c>
      <c r="E16" s="1" t="s">
        <v>490</v>
      </c>
      <c r="F16" s="1" t="s">
        <v>33</v>
      </c>
      <c r="G16" s="176">
        <v>250</v>
      </c>
    </row>
    <row r="17" spans="1:7" x14ac:dyDescent="0.25">
      <c r="A17" s="167">
        <v>13</v>
      </c>
      <c r="B17" s="1" t="s">
        <v>491</v>
      </c>
      <c r="C17" s="1" t="s">
        <v>22</v>
      </c>
      <c r="D17" s="103">
        <v>26946</v>
      </c>
      <c r="E17" s="1" t="s">
        <v>23</v>
      </c>
      <c r="F17" s="1" t="s">
        <v>480</v>
      </c>
      <c r="G17" s="176">
        <v>250</v>
      </c>
    </row>
    <row r="18" spans="1:7" x14ac:dyDescent="0.25">
      <c r="A18" s="167">
        <v>14</v>
      </c>
      <c r="B18" s="1" t="s">
        <v>492</v>
      </c>
      <c r="C18" s="1" t="s">
        <v>22</v>
      </c>
      <c r="D18" s="103">
        <v>26355</v>
      </c>
      <c r="E18" s="1" t="s">
        <v>23</v>
      </c>
      <c r="F18" s="1" t="s">
        <v>480</v>
      </c>
      <c r="G18" s="176">
        <v>250</v>
      </c>
    </row>
    <row r="19" spans="1:7" x14ac:dyDescent="0.25">
      <c r="A19" s="167">
        <v>15</v>
      </c>
      <c r="B19" s="1" t="s">
        <v>493</v>
      </c>
      <c r="C19" s="1" t="s">
        <v>22</v>
      </c>
      <c r="D19" s="103">
        <v>27687</v>
      </c>
      <c r="E19" s="1" t="s">
        <v>23</v>
      </c>
      <c r="F19" s="1" t="s">
        <v>363</v>
      </c>
      <c r="G19" s="176">
        <v>100</v>
      </c>
    </row>
    <row r="20" spans="1:7" x14ac:dyDescent="0.25">
      <c r="A20" s="167">
        <v>16</v>
      </c>
      <c r="B20" s="1" t="s">
        <v>494</v>
      </c>
      <c r="C20" s="1" t="s">
        <v>22</v>
      </c>
      <c r="D20" s="103">
        <v>28731</v>
      </c>
      <c r="E20" s="1" t="s">
        <v>23</v>
      </c>
      <c r="F20" s="1" t="s">
        <v>477</v>
      </c>
      <c r="G20" s="176">
        <v>100</v>
      </c>
    </row>
    <row r="21" spans="1:7" x14ac:dyDescent="0.25">
      <c r="A21" s="167">
        <v>17</v>
      </c>
      <c r="B21" s="1" t="s">
        <v>495</v>
      </c>
      <c r="C21" s="1" t="s">
        <v>22</v>
      </c>
      <c r="D21" s="103">
        <v>27181</v>
      </c>
      <c r="E21" s="1" t="s">
        <v>23</v>
      </c>
      <c r="F21" s="1" t="s">
        <v>477</v>
      </c>
      <c r="G21" s="176">
        <v>130</v>
      </c>
    </row>
    <row r="22" spans="1:7" x14ac:dyDescent="0.25">
      <c r="A22" s="167">
        <v>18</v>
      </c>
      <c r="B22" s="1" t="s">
        <v>496</v>
      </c>
      <c r="C22" s="1" t="s">
        <v>22</v>
      </c>
      <c r="D22" s="103">
        <v>26831</v>
      </c>
      <c r="E22" s="1" t="s">
        <v>23</v>
      </c>
      <c r="F22" s="1" t="s">
        <v>477</v>
      </c>
      <c r="G22" s="176">
        <v>150</v>
      </c>
    </row>
    <row r="23" spans="1:7" x14ac:dyDescent="0.25">
      <c r="A23" s="167">
        <v>19</v>
      </c>
      <c r="B23" s="1" t="s">
        <v>497</v>
      </c>
      <c r="C23" s="1" t="s">
        <v>22</v>
      </c>
      <c r="D23" s="103">
        <v>28291</v>
      </c>
      <c r="E23" s="1" t="s">
        <v>28</v>
      </c>
      <c r="F23" s="1" t="s">
        <v>477</v>
      </c>
      <c r="G23" s="176">
        <v>140</v>
      </c>
    </row>
    <row r="24" spans="1:7" x14ac:dyDescent="0.25">
      <c r="A24" s="167">
        <v>20</v>
      </c>
      <c r="B24" s="1" t="s">
        <v>498</v>
      </c>
      <c r="C24" s="1" t="s">
        <v>22</v>
      </c>
      <c r="D24" s="103">
        <v>25751</v>
      </c>
      <c r="E24" s="1" t="s">
        <v>68</v>
      </c>
      <c r="F24" s="1" t="s">
        <v>477</v>
      </c>
      <c r="G24" s="176">
        <v>120</v>
      </c>
    </row>
    <row r="25" spans="1:7" x14ac:dyDescent="0.25">
      <c r="A25" s="167">
        <v>21</v>
      </c>
      <c r="B25" s="1" t="s">
        <v>499</v>
      </c>
      <c r="C25" s="1" t="s">
        <v>22</v>
      </c>
      <c r="D25" s="103">
        <v>27392</v>
      </c>
      <c r="E25" s="1" t="s">
        <v>500</v>
      </c>
      <c r="F25" s="1" t="s">
        <v>477</v>
      </c>
      <c r="G25" s="176">
        <v>150</v>
      </c>
    </row>
    <row r="26" spans="1:7" x14ac:dyDescent="0.25">
      <c r="A26" s="167">
        <v>22</v>
      </c>
      <c r="B26" s="1" t="s">
        <v>501</v>
      </c>
      <c r="C26" s="1" t="s">
        <v>22</v>
      </c>
      <c r="D26" s="103">
        <v>27947</v>
      </c>
      <c r="E26" s="1" t="s">
        <v>23</v>
      </c>
      <c r="F26" s="1" t="s">
        <v>363</v>
      </c>
      <c r="G26" s="176">
        <v>130</v>
      </c>
    </row>
    <row r="27" spans="1:7" x14ac:dyDescent="0.25">
      <c r="A27" s="167">
        <v>23</v>
      </c>
      <c r="B27" s="1" t="s">
        <v>502</v>
      </c>
      <c r="C27" s="1" t="s">
        <v>22</v>
      </c>
      <c r="D27" s="103">
        <v>27834</v>
      </c>
      <c r="E27" s="1" t="s">
        <v>23</v>
      </c>
      <c r="F27" s="1" t="s">
        <v>477</v>
      </c>
      <c r="G27" s="176">
        <v>140</v>
      </c>
    </row>
    <row r="28" spans="1:7" x14ac:dyDescent="0.25">
      <c r="A28" s="167">
        <v>24</v>
      </c>
      <c r="B28" s="1" t="s">
        <v>503</v>
      </c>
      <c r="C28" s="1" t="s">
        <v>22</v>
      </c>
      <c r="D28" s="103">
        <v>27501</v>
      </c>
      <c r="E28" s="1" t="s">
        <v>68</v>
      </c>
      <c r="F28" s="1" t="s">
        <v>477</v>
      </c>
      <c r="G28" s="176">
        <v>180</v>
      </c>
    </row>
    <row r="29" spans="1:7" x14ac:dyDescent="0.25">
      <c r="A29" s="167">
        <v>25</v>
      </c>
      <c r="B29" s="1" t="s">
        <v>504</v>
      </c>
      <c r="C29" s="1" t="s">
        <v>22</v>
      </c>
      <c r="D29" s="103">
        <v>27760</v>
      </c>
      <c r="E29" s="1" t="s">
        <v>23</v>
      </c>
      <c r="F29" s="1" t="s">
        <v>477</v>
      </c>
      <c r="G29" s="176">
        <v>170</v>
      </c>
    </row>
    <row r="30" spans="1:7" x14ac:dyDescent="0.25">
      <c r="A30" s="379" t="s">
        <v>505</v>
      </c>
      <c r="B30" s="379"/>
      <c r="C30" s="379"/>
      <c r="D30" s="379"/>
      <c r="E30" s="379"/>
      <c r="F30" s="379"/>
      <c r="G30" s="379"/>
    </row>
    <row r="33" spans="1:7" x14ac:dyDescent="0.25">
      <c r="A33" s="194"/>
      <c r="B33" s="195" t="s">
        <v>506</v>
      </c>
      <c r="C33" s="380" t="s">
        <v>507</v>
      </c>
      <c r="D33" s="381"/>
      <c r="E33" s="380" t="s">
        <v>508</v>
      </c>
      <c r="F33" s="382"/>
      <c r="G33" s="381"/>
    </row>
    <row r="34" spans="1:7" x14ac:dyDescent="0.25">
      <c r="A34" s="324" t="s">
        <v>509</v>
      </c>
      <c r="B34" s="325"/>
      <c r="C34" s="324">
        <f>COUNTIF(C5:C29,C6)</f>
        <v>3</v>
      </c>
      <c r="D34" s="325"/>
      <c r="E34" s="375">
        <f>SUMIF(C5:C29,C6,G5:G29)</f>
        <v>410</v>
      </c>
      <c r="F34" s="376"/>
      <c r="G34" s="377"/>
    </row>
    <row r="35" spans="1:7" x14ac:dyDescent="0.25">
      <c r="A35" s="324" t="s">
        <v>510</v>
      </c>
      <c r="B35" s="325"/>
      <c r="C35" s="324">
        <f>COUNTIF(E5:E29,E5)</f>
        <v>16</v>
      </c>
      <c r="D35" s="325"/>
      <c r="E35" s="375">
        <f>SUMIF(E5:E29,E5,G5:G29)</f>
        <v>2900</v>
      </c>
      <c r="F35" s="376"/>
      <c r="G35" s="377"/>
    </row>
    <row r="36" spans="1:7" x14ac:dyDescent="0.25">
      <c r="A36" s="324" t="s">
        <v>477</v>
      </c>
      <c r="B36" s="325"/>
      <c r="C36" s="324">
        <f>COUNTIF(F5:F29,F6)</f>
        <v>15</v>
      </c>
      <c r="D36" s="325"/>
      <c r="E36" s="375">
        <f>SUMIF(F5:F29,F27,G5:G29)</f>
        <v>2140</v>
      </c>
      <c r="F36" s="376"/>
      <c r="G36" s="377"/>
    </row>
    <row r="37" spans="1:7" x14ac:dyDescent="0.25">
      <c r="A37" s="324" t="s">
        <v>511</v>
      </c>
      <c r="B37" s="325"/>
      <c r="C37" s="324">
        <f>COUNTIF(D5:D29,"&lt;4/17/1975")</f>
        <v>9</v>
      </c>
      <c r="D37" s="325"/>
      <c r="E37" s="375">
        <f>SUMIF(D5:D29,"&lt;4/17/1975",G5:G29)</f>
        <v>1730</v>
      </c>
      <c r="F37" s="376"/>
      <c r="G37" s="377"/>
    </row>
    <row r="38" spans="1:7" x14ac:dyDescent="0.25">
      <c r="A38" s="324" t="s">
        <v>512</v>
      </c>
      <c r="B38" s="325"/>
      <c r="C38" s="324">
        <f>COUNTIF(G5:G29,"200$")</f>
        <v>0</v>
      </c>
      <c r="D38" s="325"/>
      <c r="E38" s="375">
        <f>SUMIF(G5:G29,"200")</f>
        <v>0</v>
      </c>
      <c r="F38" s="376"/>
      <c r="G38" s="377"/>
    </row>
    <row r="39" spans="1:7" x14ac:dyDescent="0.25">
      <c r="A39" s="324" t="s">
        <v>563</v>
      </c>
      <c r="B39" s="325"/>
      <c r="C39" s="324">
        <f>COUNTIF(G5:G29,"&gt;$200")</f>
        <v>6</v>
      </c>
      <c r="D39" s="325"/>
      <c r="E39" s="375">
        <f>SUMIF(G5:G29,"&gt;200")</f>
        <v>1950</v>
      </c>
      <c r="F39" s="376"/>
      <c r="G39" s="377"/>
    </row>
  </sheetData>
  <mergeCells count="23">
    <mergeCell ref="A1:G2"/>
    <mergeCell ref="A3:G3"/>
    <mergeCell ref="A30:G30"/>
    <mergeCell ref="C33:D33"/>
    <mergeCell ref="E33:G33"/>
    <mergeCell ref="A34:B34"/>
    <mergeCell ref="C34:D34"/>
    <mergeCell ref="E34:G34"/>
    <mergeCell ref="A35:B35"/>
    <mergeCell ref="C35:D35"/>
    <mergeCell ref="E35:G35"/>
    <mergeCell ref="A36:B36"/>
    <mergeCell ref="C36:D36"/>
    <mergeCell ref="E36:G36"/>
    <mergeCell ref="A37:B37"/>
    <mergeCell ref="C37:D37"/>
    <mergeCell ref="E37:G37"/>
    <mergeCell ref="A38:B38"/>
    <mergeCell ref="C38:D38"/>
    <mergeCell ref="E38:G38"/>
    <mergeCell ref="A39:B39"/>
    <mergeCell ref="C39:D39"/>
    <mergeCell ref="E39:G39"/>
  </mergeCells>
  <pageMargins left="0.25" right="0.25" top="0.25" bottom="0.25" header="0.3" footer="0.3"/>
  <pageSetup paperSize="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32"/>
  <sheetViews>
    <sheetView workbookViewId="0">
      <selection activeCell="H25" sqref="H25:H32"/>
    </sheetView>
  </sheetViews>
  <sheetFormatPr defaultRowHeight="15" x14ac:dyDescent="0.25"/>
  <cols>
    <col min="1" max="1" width="9" customWidth="1"/>
    <col min="2" max="3" width="17.28515625" customWidth="1"/>
    <col min="4" max="4" width="21.5703125" customWidth="1"/>
    <col min="5" max="8" width="14.42578125" customWidth="1"/>
  </cols>
  <sheetData>
    <row r="1" spans="1:8" ht="31.5" x14ac:dyDescent="0.5">
      <c r="A1" s="384" t="s">
        <v>421</v>
      </c>
      <c r="B1" s="384"/>
      <c r="C1" s="384"/>
      <c r="D1" s="384"/>
      <c r="E1" s="384"/>
      <c r="F1" s="384"/>
      <c r="G1" s="384"/>
      <c r="H1" s="384"/>
    </row>
    <row r="2" spans="1:8" x14ac:dyDescent="0.25">
      <c r="A2" s="324" t="s">
        <v>422</v>
      </c>
      <c r="B2" s="385"/>
      <c r="C2" s="385"/>
      <c r="D2" s="325"/>
      <c r="E2" s="1" t="s">
        <v>423</v>
      </c>
      <c r="F2" s="1" t="s">
        <v>424</v>
      </c>
      <c r="G2" s="1" t="s">
        <v>425</v>
      </c>
      <c r="H2" s="1" t="s">
        <v>426</v>
      </c>
    </row>
    <row r="3" spans="1:8" x14ac:dyDescent="0.25">
      <c r="A3" s="197" t="s">
        <v>427</v>
      </c>
      <c r="B3" s="55"/>
      <c r="C3" s="207" t="s">
        <v>428</v>
      </c>
      <c r="D3" s="208"/>
      <c r="E3" s="176">
        <v>75100</v>
      </c>
      <c r="F3" s="176">
        <v>85000</v>
      </c>
      <c r="G3" s="176">
        <v>115000</v>
      </c>
      <c r="H3" s="176">
        <v>79855.77</v>
      </c>
    </row>
    <row r="4" spans="1:8" x14ac:dyDescent="0.25">
      <c r="A4" s="188" t="s">
        <v>429</v>
      </c>
      <c r="B4" s="52"/>
      <c r="C4" s="209" t="s">
        <v>430</v>
      </c>
      <c r="D4" s="210"/>
      <c r="E4" s="176">
        <v>3000</v>
      </c>
      <c r="F4" s="176">
        <v>3900</v>
      </c>
      <c r="G4" s="176">
        <v>2000</v>
      </c>
      <c r="H4" s="176">
        <v>4000</v>
      </c>
    </row>
    <row r="5" spans="1:8" x14ac:dyDescent="0.25">
      <c r="A5" s="188" t="s">
        <v>431</v>
      </c>
      <c r="B5" s="52"/>
      <c r="C5" s="209" t="s">
        <v>432</v>
      </c>
      <c r="D5" s="210"/>
      <c r="E5" s="176">
        <v>19000</v>
      </c>
      <c r="F5" s="176">
        <v>40500</v>
      </c>
      <c r="G5" s="176">
        <v>20000</v>
      </c>
      <c r="H5" s="176">
        <v>51000</v>
      </c>
    </row>
    <row r="6" spans="1:8" x14ac:dyDescent="0.25">
      <c r="A6" s="188" t="s">
        <v>433</v>
      </c>
      <c r="B6" s="52"/>
      <c r="C6" s="211" t="s">
        <v>434</v>
      </c>
      <c r="D6" s="210"/>
      <c r="E6" s="189">
        <f>SUM(E3:E5)</f>
        <v>97100</v>
      </c>
      <c r="F6" s="189">
        <f>SUM(F3:F5)</f>
        <v>129400</v>
      </c>
      <c r="G6" s="189">
        <f>SUM(G3:G5)</f>
        <v>137000</v>
      </c>
      <c r="H6" s="189">
        <f>SUM(H3:H5)</f>
        <v>134855.77000000002</v>
      </c>
    </row>
    <row r="7" spans="1:8" x14ac:dyDescent="0.25">
      <c r="A7" s="188"/>
      <c r="B7" s="52"/>
      <c r="C7" s="209"/>
      <c r="D7" s="210"/>
      <c r="E7" s="176"/>
      <c r="F7" s="176"/>
      <c r="G7" s="176"/>
      <c r="H7" s="176"/>
    </row>
    <row r="8" spans="1:8" x14ac:dyDescent="0.25">
      <c r="A8" s="188" t="s">
        <v>276</v>
      </c>
      <c r="B8" s="52"/>
      <c r="C8" s="211" t="s">
        <v>435</v>
      </c>
      <c r="D8" s="210"/>
      <c r="E8" s="176">
        <v>57000</v>
      </c>
      <c r="F8" s="176">
        <v>70000</v>
      </c>
      <c r="G8" s="176">
        <v>75000</v>
      </c>
      <c r="H8" s="176">
        <v>76200</v>
      </c>
    </row>
    <row r="9" spans="1:8" x14ac:dyDescent="0.25">
      <c r="A9" s="188" t="s">
        <v>436</v>
      </c>
      <c r="B9" s="52"/>
      <c r="C9" s="211" t="s">
        <v>437</v>
      </c>
      <c r="D9" s="210"/>
      <c r="E9" s="189">
        <f>E6-E8</f>
        <v>40100</v>
      </c>
      <c r="F9" s="189">
        <f>F6-F8</f>
        <v>59400</v>
      </c>
      <c r="G9" s="189">
        <f>G6-G8</f>
        <v>62000</v>
      </c>
      <c r="H9" s="189">
        <f>H6-H8</f>
        <v>58655.770000000019</v>
      </c>
    </row>
    <row r="10" spans="1:8" x14ac:dyDescent="0.25">
      <c r="A10" s="51"/>
      <c r="B10" s="52"/>
      <c r="C10" s="209"/>
      <c r="D10" s="210"/>
      <c r="E10" s="176"/>
      <c r="F10" s="176"/>
      <c r="G10" s="176"/>
      <c r="H10" s="176"/>
    </row>
    <row r="11" spans="1:8" x14ac:dyDescent="0.25">
      <c r="A11" s="190" t="s">
        <v>438</v>
      </c>
      <c r="B11" s="52"/>
      <c r="C11" s="211" t="s">
        <v>439</v>
      </c>
      <c r="D11" s="210"/>
      <c r="E11" s="176"/>
      <c r="F11" s="176"/>
      <c r="G11" s="176"/>
      <c r="H11" s="176"/>
    </row>
    <row r="12" spans="1:8" x14ac:dyDescent="0.25">
      <c r="A12" s="91" t="s">
        <v>440</v>
      </c>
      <c r="B12" s="196"/>
      <c r="C12" s="211" t="s">
        <v>441</v>
      </c>
      <c r="D12" s="210"/>
      <c r="E12" s="176">
        <v>500</v>
      </c>
      <c r="F12" s="176">
        <v>1200</v>
      </c>
      <c r="G12" s="176">
        <v>250</v>
      </c>
      <c r="H12" s="176">
        <v>100</v>
      </c>
    </row>
    <row r="13" spans="1:8" x14ac:dyDescent="0.25">
      <c r="A13" s="91" t="s">
        <v>442</v>
      </c>
      <c r="B13" s="92"/>
      <c r="C13" s="211" t="s">
        <v>443</v>
      </c>
      <c r="D13" s="210"/>
      <c r="E13" s="176">
        <v>600</v>
      </c>
      <c r="F13" s="176">
        <v>140</v>
      </c>
      <c r="G13" s="176">
        <v>200</v>
      </c>
      <c r="H13" s="176">
        <v>200</v>
      </c>
    </row>
    <row r="14" spans="1:8" x14ac:dyDescent="0.25">
      <c r="A14" s="91" t="s">
        <v>444</v>
      </c>
      <c r="B14" s="92"/>
      <c r="C14" s="211" t="s">
        <v>445</v>
      </c>
      <c r="D14" s="210"/>
      <c r="E14" s="176">
        <v>2500</v>
      </c>
      <c r="F14" s="176">
        <v>3000</v>
      </c>
      <c r="G14" s="176">
        <v>3000</v>
      </c>
      <c r="H14" s="176">
        <v>3000</v>
      </c>
    </row>
    <row r="15" spans="1:8" x14ac:dyDescent="0.25">
      <c r="A15" s="91" t="s">
        <v>446</v>
      </c>
      <c r="B15" s="92"/>
      <c r="C15" s="211" t="s">
        <v>447</v>
      </c>
      <c r="D15" s="210"/>
      <c r="E15" s="176">
        <v>150</v>
      </c>
      <c r="F15" s="176">
        <v>850</v>
      </c>
      <c r="G15" s="176">
        <v>1150</v>
      </c>
      <c r="H15" s="176">
        <v>900</v>
      </c>
    </row>
    <row r="16" spans="1:8" x14ac:dyDescent="0.25">
      <c r="A16" s="91" t="s">
        <v>448</v>
      </c>
      <c r="B16" s="92"/>
      <c r="C16" s="211" t="s">
        <v>449</v>
      </c>
      <c r="D16" s="210"/>
      <c r="E16" s="176">
        <v>12000</v>
      </c>
      <c r="F16" s="176">
        <v>15000</v>
      </c>
      <c r="G16" s="176">
        <v>15000</v>
      </c>
      <c r="H16" s="176">
        <v>17500</v>
      </c>
    </row>
    <row r="17" spans="1:8" x14ac:dyDescent="0.25">
      <c r="A17" s="91" t="s">
        <v>450</v>
      </c>
      <c r="B17" s="92"/>
      <c r="C17" s="211" t="s">
        <v>451</v>
      </c>
      <c r="D17" s="210"/>
      <c r="E17" s="189">
        <f>SUM(E12:E16)</f>
        <v>15750</v>
      </c>
      <c r="F17" s="189">
        <f>SUM(F12:F16)</f>
        <v>20190</v>
      </c>
      <c r="G17" s="189">
        <f>SUM(G12:G16)</f>
        <v>19600</v>
      </c>
      <c r="H17" s="189">
        <f>SUM(H12:H16)</f>
        <v>21700</v>
      </c>
    </row>
    <row r="18" spans="1:8" x14ac:dyDescent="0.25">
      <c r="A18" s="94"/>
      <c r="B18" s="95"/>
      <c r="C18" s="79"/>
      <c r="D18" s="187"/>
      <c r="E18" s="176"/>
      <c r="F18" s="176"/>
      <c r="G18" s="176"/>
      <c r="H18" s="176"/>
    </row>
    <row r="19" spans="1:8" ht="15.75" thickBot="1" x14ac:dyDescent="0.3">
      <c r="A19" s="386" t="s">
        <v>128</v>
      </c>
      <c r="B19" s="387"/>
      <c r="C19" s="387"/>
      <c r="D19" s="388"/>
      <c r="E19" s="191">
        <f>E9-E17</f>
        <v>24350</v>
      </c>
      <c r="F19" s="191">
        <f>F9-F17</f>
        <v>39210</v>
      </c>
      <c r="G19" s="191">
        <f>G9-G17</f>
        <v>42400</v>
      </c>
      <c r="H19" s="191">
        <f>H9-H17</f>
        <v>36955.770000000019</v>
      </c>
    </row>
    <row r="20" spans="1:8" ht="15.75" hidden="1" thickTop="1" x14ac:dyDescent="0.25"/>
    <row r="21" spans="1:8" ht="30" thickTop="1" thickBot="1" x14ac:dyDescent="0.5">
      <c r="A21" s="383" t="s">
        <v>452</v>
      </c>
      <c r="B21" s="383"/>
      <c r="C21" s="383"/>
      <c r="D21" s="383"/>
      <c r="E21" s="383"/>
      <c r="F21" s="383"/>
      <c r="G21" s="383"/>
      <c r="H21" s="383"/>
    </row>
    <row r="22" spans="1:8" ht="15.75" thickTop="1" x14ac:dyDescent="0.25"/>
    <row r="23" spans="1:8" ht="15.75" thickBot="1" x14ac:dyDescent="0.3"/>
    <row r="24" spans="1:8" ht="15.75" thickTop="1" x14ac:dyDescent="0.25">
      <c r="A24" s="192" t="s">
        <v>453</v>
      </c>
      <c r="B24" s="192" t="s">
        <v>454</v>
      </c>
      <c r="C24" s="192" t="s">
        <v>74</v>
      </c>
      <c r="D24" s="192" t="s">
        <v>455</v>
      </c>
      <c r="E24" s="192" t="s">
        <v>456</v>
      </c>
      <c r="F24" s="192" t="s">
        <v>457</v>
      </c>
      <c r="G24" s="192" t="s">
        <v>458</v>
      </c>
      <c r="H24" s="192" t="s">
        <v>459</v>
      </c>
    </row>
    <row r="25" spans="1:8" x14ac:dyDescent="0.25">
      <c r="A25" s="167">
        <v>1</v>
      </c>
      <c r="B25" s="1" t="s">
        <v>460</v>
      </c>
      <c r="C25" s="14" t="s">
        <v>22</v>
      </c>
      <c r="D25" s="216">
        <v>0.35416666666666669</v>
      </c>
      <c r="E25" s="193">
        <v>0.4375</v>
      </c>
      <c r="F25" s="193">
        <f>E25-D25</f>
        <v>8.3333333333333315E-2</v>
      </c>
      <c r="G25" s="176">
        <v>3</v>
      </c>
      <c r="H25" s="176">
        <v>6</v>
      </c>
    </row>
    <row r="26" spans="1:8" x14ac:dyDescent="0.25">
      <c r="A26" s="167">
        <v>2</v>
      </c>
      <c r="B26" s="1" t="s">
        <v>461</v>
      </c>
      <c r="C26" s="14" t="s">
        <v>27</v>
      </c>
      <c r="D26" s="217">
        <v>0.3125</v>
      </c>
      <c r="E26" s="193">
        <v>0.46458333333333335</v>
      </c>
      <c r="F26" s="193">
        <f t="shared" ref="F26:F32" si="0">E26-D26</f>
        <v>0.15208333333333335</v>
      </c>
      <c r="G26" s="176">
        <v>3</v>
      </c>
      <c r="H26" s="176">
        <v>10.95</v>
      </c>
    </row>
    <row r="27" spans="1:8" x14ac:dyDescent="0.25">
      <c r="A27" s="167">
        <v>3</v>
      </c>
      <c r="B27" s="1" t="s">
        <v>462</v>
      </c>
      <c r="C27" s="14" t="s">
        <v>22</v>
      </c>
      <c r="D27" s="217">
        <v>0.31944444444444448</v>
      </c>
      <c r="E27" s="193">
        <v>0.47152777777777777</v>
      </c>
      <c r="F27" s="193">
        <f t="shared" si="0"/>
        <v>0.15208333333333329</v>
      </c>
      <c r="G27" s="176">
        <v>3</v>
      </c>
      <c r="H27" s="176">
        <v>10.95</v>
      </c>
    </row>
    <row r="28" spans="1:8" x14ac:dyDescent="0.25">
      <c r="A28" s="167">
        <v>4</v>
      </c>
      <c r="B28" s="1" t="s">
        <v>463</v>
      </c>
      <c r="C28" s="14" t="s">
        <v>22</v>
      </c>
      <c r="D28" s="217">
        <v>0.30555555555555552</v>
      </c>
      <c r="E28" s="193">
        <v>0.47569444444444442</v>
      </c>
      <c r="F28" s="193">
        <f t="shared" si="0"/>
        <v>0.1701388888888889</v>
      </c>
      <c r="G28" s="176">
        <v>3</v>
      </c>
      <c r="H28" s="176">
        <v>12.25</v>
      </c>
    </row>
    <row r="29" spans="1:8" x14ac:dyDescent="0.25">
      <c r="A29" s="167">
        <v>5</v>
      </c>
      <c r="B29" s="1" t="s">
        <v>464</v>
      </c>
      <c r="C29" s="14" t="s">
        <v>27</v>
      </c>
      <c r="D29" s="217">
        <v>0.29166666666666669</v>
      </c>
      <c r="E29" s="193">
        <v>0.46875</v>
      </c>
      <c r="F29" s="193">
        <f t="shared" si="0"/>
        <v>0.17708333333333331</v>
      </c>
      <c r="G29" s="176">
        <v>3</v>
      </c>
      <c r="H29" s="176">
        <v>12.75</v>
      </c>
    </row>
    <row r="30" spans="1:8" x14ac:dyDescent="0.25">
      <c r="A30" s="167">
        <v>6</v>
      </c>
      <c r="B30" s="1" t="s">
        <v>465</v>
      </c>
      <c r="C30" s="14" t="s">
        <v>22</v>
      </c>
      <c r="D30" s="217">
        <v>0.34027777777777773</v>
      </c>
      <c r="E30" s="193">
        <v>0.51388888888888895</v>
      </c>
      <c r="F30" s="193">
        <f t="shared" si="0"/>
        <v>0.17361111111111122</v>
      </c>
      <c r="G30" s="176">
        <v>3</v>
      </c>
      <c r="H30" s="176">
        <v>12.5</v>
      </c>
    </row>
    <row r="31" spans="1:8" x14ac:dyDescent="0.25">
      <c r="A31" s="167">
        <v>7</v>
      </c>
      <c r="B31" s="1" t="s">
        <v>466</v>
      </c>
      <c r="C31" s="14" t="s">
        <v>27</v>
      </c>
      <c r="D31" s="217">
        <v>0.34375</v>
      </c>
      <c r="E31" s="193">
        <v>0.49791666666666662</v>
      </c>
      <c r="F31" s="193">
        <f t="shared" si="0"/>
        <v>0.15416666666666662</v>
      </c>
      <c r="G31" s="176">
        <v>3</v>
      </c>
      <c r="H31" s="176">
        <v>11.1</v>
      </c>
    </row>
    <row r="32" spans="1:8" x14ac:dyDescent="0.25">
      <c r="A32" s="167">
        <v>8</v>
      </c>
      <c r="B32" s="1" t="s">
        <v>467</v>
      </c>
      <c r="C32" s="14" t="s">
        <v>27</v>
      </c>
      <c r="D32" s="217">
        <v>0.35000000000000003</v>
      </c>
      <c r="E32" s="193">
        <v>0.48749999999999999</v>
      </c>
      <c r="F32" s="193">
        <f t="shared" si="0"/>
        <v>0.13749999999999996</v>
      </c>
      <c r="G32" s="176">
        <v>3</v>
      </c>
      <c r="H32" s="176">
        <v>9.9</v>
      </c>
    </row>
  </sheetData>
  <mergeCells count="4">
    <mergeCell ref="A21:H21"/>
    <mergeCell ref="A1:H1"/>
    <mergeCell ref="A2:D2"/>
    <mergeCell ref="A19:D1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52"/>
  <sheetViews>
    <sheetView topLeftCell="A4" workbookViewId="0">
      <selection activeCell="J12" sqref="J12"/>
    </sheetView>
  </sheetViews>
  <sheetFormatPr defaultRowHeight="15" x14ac:dyDescent="0.25"/>
  <cols>
    <col min="1" max="1" width="4.7109375" customWidth="1"/>
    <col min="2" max="2" width="13.85546875" customWidth="1"/>
    <col min="3" max="3" width="11.140625" customWidth="1"/>
    <col min="4" max="4" width="13.140625" customWidth="1"/>
    <col min="5" max="6" width="10.7109375" customWidth="1"/>
    <col min="7" max="7" width="14" customWidth="1"/>
    <col min="8" max="8" width="16.140625" customWidth="1"/>
  </cols>
  <sheetData>
    <row r="1" spans="1:13" x14ac:dyDescent="0.25">
      <c r="A1" s="389" t="s">
        <v>367</v>
      </c>
      <c r="B1" s="389"/>
      <c r="C1" s="389"/>
      <c r="D1" s="389"/>
      <c r="E1" s="389"/>
      <c r="F1" s="389"/>
      <c r="G1" s="389"/>
      <c r="H1" s="389"/>
    </row>
    <row r="2" spans="1:13" x14ac:dyDescent="0.25">
      <c r="A2" s="389"/>
      <c r="B2" s="389"/>
      <c r="C2" s="389"/>
      <c r="D2" s="389"/>
      <c r="E2" s="389"/>
      <c r="F2" s="389"/>
      <c r="G2" s="389"/>
      <c r="H2" s="389"/>
    </row>
    <row r="3" spans="1:13" x14ac:dyDescent="0.25">
      <c r="A3" s="389"/>
      <c r="B3" s="389"/>
      <c r="C3" s="389"/>
      <c r="D3" s="389"/>
      <c r="E3" s="389"/>
      <c r="F3" s="389"/>
      <c r="G3" s="389"/>
      <c r="H3" s="389"/>
    </row>
    <row r="4" spans="1:13" x14ac:dyDescent="0.25">
      <c r="A4" s="389"/>
      <c r="B4" s="389"/>
      <c r="C4" s="389"/>
      <c r="D4" s="389"/>
      <c r="E4" s="389"/>
      <c r="F4" s="389"/>
      <c r="G4" s="389"/>
      <c r="H4" s="389"/>
    </row>
    <row r="5" spans="1:13" x14ac:dyDescent="0.25">
      <c r="A5" s="389"/>
      <c r="B5" s="389"/>
      <c r="C5" s="389"/>
      <c r="D5" s="389"/>
      <c r="E5" s="389"/>
      <c r="F5" s="389"/>
      <c r="G5" s="389"/>
      <c r="H5" s="389"/>
      <c r="M5" s="183"/>
    </row>
    <row r="6" spans="1:13" x14ac:dyDescent="0.25">
      <c r="A6" s="389"/>
      <c r="B6" s="389"/>
      <c r="C6" s="389"/>
      <c r="D6" s="389"/>
      <c r="E6" s="389"/>
      <c r="F6" s="389"/>
      <c r="G6" s="389"/>
      <c r="H6" s="389"/>
    </row>
    <row r="7" spans="1:13" x14ac:dyDescent="0.25">
      <c r="A7" s="389"/>
      <c r="B7" s="389"/>
      <c r="C7" s="389"/>
      <c r="D7" s="389"/>
      <c r="E7" s="389"/>
      <c r="F7" s="389"/>
      <c r="G7" s="389"/>
      <c r="H7" s="389"/>
    </row>
    <row r="8" spans="1:13" x14ac:dyDescent="0.25">
      <c r="A8" s="389"/>
      <c r="B8" s="389"/>
      <c r="C8" s="389"/>
      <c r="D8" s="389"/>
      <c r="E8" s="389"/>
      <c r="F8" s="389"/>
      <c r="G8" s="389"/>
      <c r="H8" s="389"/>
    </row>
    <row r="9" spans="1:13" x14ac:dyDescent="0.25">
      <c r="A9" s="390" t="s">
        <v>368</v>
      </c>
      <c r="B9" s="390"/>
      <c r="C9" s="390"/>
      <c r="D9" s="390"/>
      <c r="E9" s="390"/>
      <c r="F9" s="390"/>
      <c r="G9" s="390"/>
      <c r="H9" s="390"/>
    </row>
    <row r="10" spans="1:13" ht="6" customHeight="1" x14ac:dyDescent="0.25"/>
    <row r="11" spans="1:13" ht="27" customHeight="1" x14ac:dyDescent="0.25">
      <c r="A11" s="305" t="s">
        <v>129</v>
      </c>
      <c r="B11" s="305" t="s">
        <v>369</v>
      </c>
      <c r="C11" s="305" t="s">
        <v>370</v>
      </c>
      <c r="D11" s="305" t="s">
        <v>371</v>
      </c>
      <c r="E11" s="391" t="s">
        <v>372</v>
      </c>
      <c r="F11" s="391" t="s">
        <v>107</v>
      </c>
      <c r="G11" s="391" t="s">
        <v>373</v>
      </c>
      <c r="H11" s="391" t="s">
        <v>374</v>
      </c>
    </row>
    <row r="12" spans="1:13" ht="27" customHeight="1" x14ac:dyDescent="0.25">
      <c r="A12" s="306"/>
      <c r="B12" s="306"/>
      <c r="C12" s="306"/>
      <c r="D12" s="306"/>
      <c r="E12" s="392"/>
      <c r="F12" s="392"/>
      <c r="G12" s="392"/>
      <c r="H12" s="392"/>
    </row>
    <row r="13" spans="1:13" x14ac:dyDescent="0.25">
      <c r="A13" s="1">
        <v>1</v>
      </c>
      <c r="B13" s="1" t="s">
        <v>375</v>
      </c>
      <c r="C13" s="1">
        <v>5</v>
      </c>
      <c r="D13" s="184">
        <v>3500</v>
      </c>
      <c r="E13" s="184">
        <f>D13*C13</f>
        <v>17500</v>
      </c>
      <c r="F13" s="176">
        <f>E13/4000</f>
        <v>4.375</v>
      </c>
      <c r="G13" s="176">
        <f>INT(E13/4000)</f>
        <v>4</v>
      </c>
      <c r="H13" s="184">
        <f>MOD(E13,4000)</f>
        <v>1500</v>
      </c>
    </row>
    <row r="14" spans="1:13" x14ac:dyDescent="0.25">
      <c r="A14" s="1">
        <v>2</v>
      </c>
      <c r="B14" s="1" t="s">
        <v>376</v>
      </c>
      <c r="C14" s="1">
        <v>7</v>
      </c>
      <c r="D14" s="184">
        <v>2000</v>
      </c>
      <c r="E14" s="184">
        <f t="shared" ref="E14:E42" si="0">D14*C14</f>
        <v>14000</v>
      </c>
      <c r="F14" s="176">
        <f t="shared" ref="F14:F42" si="1">E14/4000</f>
        <v>3.5</v>
      </c>
      <c r="G14" s="176">
        <f t="shared" ref="G14:G42" si="2">INT(E14/4000)</f>
        <v>3</v>
      </c>
      <c r="H14" s="184">
        <f t="shared" ref="H14:H42" si="3">MOD(E14,4000)</f>
        <v>2000</v>
      </c>
    </row>
    <row r="15" spans="1:13" x14ac:dyDescent="0.25">
      <c r="A15" s="1">
        <v>3</v>
      </c>
      <c r="B15" s="1" t="s">
        <v>377</v>
      </c>
      <c r="C15" s="1">
        <v>10</v>
      </c>
      <c r="D15" s="184">
        <v>1000</v>
      </c>
      <c r="E15" s="184">
        <f t="shared" si="0"/>
        <v>10000</v>
      </c>
      <c r="F15" s="176">
        <f t="shared" si="1"/>
        <v>2.5</v>
      </c>
      <c r="G15" s="176">
        <f t="shared" si="2"/>
        <v>2</v>
      </c>
      <c r="H15" s="184">
        <f t="shared" si="3"/>
        <v>2000</v>
      </c>
    </row>
    <row r="16" spans="1:13" x14ac:dyDescent="0.25">
      <c r="A16" s="1">
        <v>4</v>
      </c>
      <c r="B16" s="1" t="s">
        <v>378</v>
      </c>
      <c r="C16" s="1">
        <v>3</v>
      </c>
      <c r="D16" s="184">
        <v>18570</v>
      </c>
      <c r="E16" s="184">
        <f t="shared" si="0"/>
        <v>55710</v>
      </c>
      <c r="F16" s="176">
        <f t="shared" si="1"/>
        <v>13.9275</v>
      </c>
      <c r="G16" s="176">
        <f t="shared" si="2"/>
        <v>13</v>
      </c>
      <c r="H16" s="184">
        <f t="shared" si="3"/>
        <v>3710</v>
      </c>
    </row>
    <row r="17" spans="1:8" x14ac:dyDescent="0.25">
      <c r="A17" s="1">
        <v>5</v>
      </c>
      <c r="B17" s="1" t="s">
        <v>379</v>
      </c>
      <c r="C17" s="1">
        <v>2</v>
      </c>
      <c r="D17" s="184">
        <v>96200</v>
      </c>
      <c r="E17" s="184">
        <f t="shared" si="0"/>
        <v>192400</v>
      </c>
      <c r="F17" s="176">
        <f t="shared" si="1"/>
        <v>48.1</v>
      </c>
      <c r="G17" s="176">
        <f t="shared" si="2"/>
        <v>48</v>
      </c>
      <c r="H17" s="184">
        <f t="shared" si="3"/>
        <v>400</v>
      </c>
    </row>
    <row r="18" spans="1:8" x14ac:dyDescent="0.25">
      <c r="A18" s="1">
        <v>6</v>
      </c>
      <c r="B18" s="1" t="s">
        <v>380</v>
      </c>
      <c r="C18" s="1">
        <v>15</v>
      </c>
      <c r="D18" s="184">
        <v>1700</v>
      </c>
      <c r="E18" s="184">
        <f t="shared" si="0"/>
        <v>25500</v>
      </c>
      <c r="F18" s="176">
        <f t="shared" si="1"/>
        <v>6.375</v>
      </c>
      <c r="G18" s="176">
        <f t="shared" si="2"/>
        <v>6</v>
      </c>
      <c r="H18" s="184">
        <f t="shared" si="3"/>
        <v>1500</v>
      </c>
    </row>
    <row r="19" spans="1:8" x14ac:dyDescent="0.25">
      <c r="A19" s="1">
        <v>7</v>
      </c>
      <c r="B19" s="1" t="s">
        <v>216</v>
      </c>
      <c r="C19" s="1">
        <v>3</v>
      </c>
      <c r="D19" s="184">
        <v>115400</v>
      </c>
      <c r="E19" s="184">
        <f t="shared" si="0"/>
        <v>346200</v>
      </c>
      <c r="F19" s="176">
        <f t="shared" si="1"/>
        <v>86.55</v>
      </c>
      <c r="G19" s="176">
        <f t="shared" si="2"/>
        <v>86</v>
      </c>
      <c r="H19" s="184">
        <f t="shared" si="3"/>
        <v>2200</v>
      </c>
    </row>
    <row r="20" spans="1:8" x14ac:dyDescent="0.25">
      <c r="A20" s="1">
        <v>8</v>
      </c>
      <c r="B20" s="1" t="s">
        <v>215</v>
      </c>
      <c r="C20" s="1">
        <v>4</v>
      </c>
      <c r="D20" s="184">
        <v>39500</v>
      </c>
      <c r="E20" s="184">
        <f t="shared" si="0"/>
        <v>158000</v>
      </c>
      <c r="F20" s="176">
        <f t="shared" si="1"/>
        <v>39.5</v>
      </c>
      <c r="G20" s="176">
        <f t="shared" si="2"/>
        <v>39</v>
      </c>
      <c r="H20" s="184">
        <f t="shared" si="3"/>
        <v>2000</v>
      </c>
    </row>
    <row r="21" spans="1:8" x14ac:dyDescent="0.25">
      <c r="A21" s="1">
        <v>9</v>
      </c>
      <c r="B21" s="1" t="s">
        <v>218</v>
      </c>
      <c r="C21" s="1">
        <v>5</v>
      </c>
      <c r="D21" s="184">
        <v>36900</v>
      </c>
      <c r="E21" s="184">
        <f t="shared" si="0"/>
        <v>184500</v>
      </c>
      <c r="F21" s="176">
        <f t="shared" si="1"/>
        <v>46.125</v>
      </c>
      <c r="G21" s="176">
        <f t="shared" si="2"/>
        <v>46</v>
      </c>
      <c r="H21" s="184">
        <f t="shared" si="3"/>
        <v>500</v>
      </c>
    </row>
    <row r="22" spans="1:8" x14ac:dyDescent="0.25">
      <c r="A22" s="1">
        <v>10</v>
      </c>
      <c r="B22" s="1" t="s">
        <v>381</v>
      </c>
      <c r="C22" s="1">
        <v>7</v>
      </c>
      <c r="D22" s="184">
        <v>17500</v>
      </c>
      <c r="E22" s="184">
        <f t="shared" si="0"/>
        <v>122500</v>
      </c>
      <c r="F22" s="176">
        <f t="shared" si="1"/>
        <v>30.625</v>
      </c>
      <c r="G22" s="176">
        <f t="shared" si="2"/>
        <v>30</v>
      </c>
      <c r="H22" s="184">
        <f t="shared" si="3"/>
        <v>2500</v>
      </c>
    </row>
    <row r="23" spans="1:8" x14ac:dyDescent="0.25">
      <c r="A23" s="1">
        <v>11</v>
      </c>
      <c r="B23" s="1" t="s">
        <v>382</v>
      </c>
      <c r="C23" s="1">
        <v>9</v>
      </c>
      <c r="D23" s="184">
        <v>17200</v>
      </c>
      <c r="E23" s="184">
        <f t="shared" si="0"/>
        <v>154800</v>
      </c>
      <c r="F23" s="176">
        <f t="shared" si="1"/>
        <v>38.700000000000003</v>
      </c>
      <c r="G23" s="176">
        <f t="shared" si="2"/>
        <v>38</v>
      </c>
      <c r="H23" s="184">
        <f t="shared" si="3"/>
        <v>2800</v>
      </c>
    </row>
    <row r="24" spans="1:8" x14ac:dyDescent="0.25">
      <c r="A24" s="1">
        <v>12</v>
      </c>
      <c r="B24" s="1" t="s">
        <v>383</v>
      </c>
      <c r="C24" s="1">
        <v>14</v>
      </c>
      <c r="D24" s="184">
        <v>5200</v>
      </c>
      <c r="E24" s="184">
        <f t="shared" si="0"/>
        <v>72800</v>
      </c>
      <c r="F24" s="176">
        <f t="shared" si="1"/>
        <v>18.2</v>
      </c>
      <c r="G24" s="176">
        <f t="shared" si="2"/>
        <v>18</v>
      </c>
      <c r="H24" s="184">
        <f t="shared" si="3"/>
        <v>800</v>
      </c>
    </row>
    <row r="25" spans="1:8" x14ac:dyDescent="0.25">
      <c r="A25" s="1">
        <v>13</v>
      </c>
      <c r="B25" s="1" t="s">
        <v>384</v>
      </c>
      <c r="C25" s="1">
        <v>10</v>
      </c>
      <c r="D25" s="184">
        <v>8000</v>
      </c>
      <c r="E25" s="184">
        <f t="shared" si="0"/>
        <v>80000</v>
      </c>
      <c r="F25" s="176">
        <f t="shared" si="1"/>
        <v>20</v>
      </c>
      <c r="G25" s="176">
        <f t="shared" si="2"/>
        <v>20</v>
      </c>
      <c r="H25" s="184">
        <f t="shared" si="3"/>
        <v>0</v>
      </c>
    </row>
    <row r="26" spans="1:8" x14ac:dyDescent="0.25">
      <c r="A26" s="1">
        <v>14</v>
      </c>
      <c r="B26" s="1" t="s">
        <v>385</v>
      </c>
      <c r="C26" s="1">
        <v>5</v>
      </c>
      <c r="D26" s="184">
        <v>2500</v>
      </c>
      <c r="E26" s="184">
        <f t="shared" si="0"/>
        <v>12500</v>
      </c>
      <c r="F26" s="176">
        <f t="shared" si="1"/>
        <v>3.125</v>
      </c>
      <c r="G26" s="176">
        <f t="shared" si="2"/>
        <v>3</v>
      </c>
      <c r="H26" s="184">
        <f t="shared" si="3"/>
        <v>500</v>
      </c>
    </row>
    <row r="27" spans="1:8" x14ac:dyDescent="0.25">
      <c r="A27" s="1">
        <v>15</v>
      </c>
      <c r="B27" s="1" t="s">
        <v>386</v>
      </c>
      <c r="C27" s="1">
        <v>15</v>
      </c>
      <c r="D27" s="184">
        <v>1200</v>
      </c>
      <c r="E27" s="184">
        <f t="shared" si="0"/>
        <v>18000</v>
      </c>
      <c r="F27" s="176">
        <f t="shared" si="1"/>
        <v>4.5</v>
      </c>
      <c r="G27" s="176">
        <f t="shared" si="2"/>
        <v>4</v>
      </c>
      <c r="H27" s="184">
        <f t="shared" si="3"/>
        <v>2000</v>
      </c>
    </row>
    <row r="28" spans="1:8" x14ac:dyDescent="0.25">
      <c r="A28" s="1">
        <v>16</v>
      </c>
      <c r="B28" s="1" t="s">
        <v>387</v>
      </c>
      <c r="C28" s="1">
        <v>12</v>
      </c>
      <c r="D28" s="184">
        <v>600</v>
      </c>
      <c r="E28" s="184">
        <f t="shared" si="0"/>
        <v>7200</v>
      </c>
      <c r="F28" s="176">
        <f t="shared" si="1"/>
        <v>1.8</v>
      </c>
      <c r="G28" s="176">
        <f t="shared" si="2"/>
        <v>1</v>
      </c>
      <c r="H28" s="184">
        <f t="shared" si="3"/>
        <v>3200</v>
      </c>
    </row>
    <row r="29" spans="1:8" x14ac:dyDescent="0.25">
      <c r="A29" s="1">
        <v>17</v>
      </c>
      <c r="B29" s="1" t="s">
        <v>388</v>
      </c>
      <c r="C29" s="1">
        <v>20</v>
      </c>
      <c r="D29" s="184">
        <v>1100</v>
      </c>
      <c r="E29" s="184">
        <f t="shared" si="0"/>
        <v>22000</v>
      </c>
      <c r="F29" s="176">
        <f t="shared" si="1"/>
        <v>5.5</v>
      </c>
      <c r="G29" s="176">
        <f t="shared" si="2"/>
        <v>5</v>
      </c>
      <c r="H29" s="184">
        <f t="shared" si="3"/>
        <v>2000</v>
      </c>
    </row>
    <row r="30" spans="1:8" x14ac:dyDescent="0.25">
      <c r="A30" s="1">
        <v>18</v>
      </c>
      <c r="B30" s="1" t="s">
        <v>389</v>
      </c>
      <c r="C30" s="1">
        <v>30</v>
      </c>
      <c r="D30" s="184">
        <v>350</v>
      </c>
      <c r="E30" s="184">
        <f t="shared" si="0"/>
        <v>10500</v>
      </c>
      <c r="F30" s="176">
        <f t="shared" si="1"/>
        <v>2.625</v>
      </c>
      <c r="G30" s="176">
        <f t="shared" si="2"/>
        <v>2</v>
      </c>
      <c r="H30" s="184">
        <f t="shared" si="3"/>
        <v>2500</v>
      </c>
    </row>
    <row r="31" spans="1:8" x14ac:dyDescent="0.25">
      <c r="A31" s="1">
        <v>19</v>
      </c>
      <c r="B31" s="1" t="s">
        <v>390</v>
      </c>
      <c r="C31" s="1">
        <v>5</v>
      </c>
      <c r="D31" s="184">
        <v>1500</v>
      </c>
      <c r="E31" s="184">
        <f t="shared" si="0"/>
        <v>7500</v>
      </c>
      <c r="F31" s="176">
        <f t="shared" si="1"/>
        <v>1.875</v>
      </c>
      <c r="G31" s="176">
        <f t="shared" si="2"/>
        <v>1</v>
      </c>
      <c r="H31" s="184">
        <f t="shared" si="3"/>
        <v>3500</v>
      </c>
    </row>
    <row r="32" spans="1:8" x14ac:dyDescent="0.25">
      <c r="A32" s="1">
        <v>20</v>
      </c>
      <c r="B32" s="1" t="s">
        <v>391</v>
      </c>
      <c r="C32" s="1">
        <v>2</v>
      </c>
      <c r="D32" s="184">
        <v>8500</v>
      </c>
      <c r="E32" s="184">
        <f t="shared" si="0"/>
        <v>17000</v>
      </c>
      <c r="F32" s="176">
        <f t="shared" si="1"/>
        <v>4.25</v>
      </c>
      <c r="G32" s="176">
        <f t="shared" si="2"/>
        <v>4</v>
      </c>
      <c r="H32" s="184">
        <f t="shared" si="3"/>
        <v>1000</v>
      </c>
    </row>
    <row r="33" spans="1:14" x14ac:dyDescent="0.25">
      <c r="A33" s="1">
        <v>21</v>
      </c>
      <c r="B33" s="1" t="s">
        <v>392</v>
      </c>
      <c r="C33" s="1">
        <v>50</v>
      </c>
      <c r="D33" s="184">
        <v>400</v>
      </c>
      <c r="E33" s="184">
        <f t="shared" si="0"/>
        <v>20000</v>
      </c>
      <c r="F33" s="176">
        <f t="shared" si="1"/>
        <v>5</v>
      </c>
      <c r="G33" s="176">
        <f t="shared" si="2"/>
        <v>5</v>
      </c>
      <c r="H33" s="184">
        <f t="shared" si="3"/>
        <v>0</v>
      </c>
    </row>
    <row r="34" spans="1:14" x14ac:dyDescent="0.25">
      <c r="A34" s="1">
        <v>22</v>
      </c>
      <c r="B34" s="1" t="s">
        <v>393</v>
      </c>
      <c r="C34" s="1">
        <v>5</v>
      </c>
      <c r="D34" s="184">
        <v>5500</v>
      </c>
      <c r="E34" s="184">
        <f t="shared" si="0"/>
        <v>27500</v>
      </c>
      <c r="F34" s="176">
        <f t="shared" si="1"/>
        <v>6.875</v>
      </c>
      <c r="G34" s="176">
        <f t="shared" si="2"/>
        <v>6</v>
      </c>
      <c r="H34" s="184">
        <f t="shared" si="3"/>
        <v>3500</v>
      </c>
    </row>
    <row r="35" spans="1:14" x14ac:dyDescent="0.25">
      <c r="A35" s="1">
        <v>23</v>
      </c>
      <c r="B35" s="1" t="s">
        <v>394</v>
      </c>
      <c r="C35" s="1">
        <v>9</v>
      </c>
      <c r="D35" s="184">
        <v>3500</v>
      </c>
      <c r="E35" s="184">
        <f t="shared" si="0"/>
        <v>31500</v>
      </c>
      <c r="F35" s="176">
        <f t="shared" si="1"/>
        <v>7.875</v>
      </c>
      <c r="G35" s="176">
        <f t="shared" si="2"/>
        <v>7</v>
      </c>
      <c r="H35" s="184">
        <f t="shared" si="3"/>
        <v>3500</v>
      </c>
    </row>
    <row r="36" spans="1:14" x14ac:dyDescent="0.25">
      <c r="A36" s="1">
        <v>24</v>
      </c>
      <c r="B36" s="1" t="s">
        <v>395</v>
      </c>
      <c r="C36" s="1">
        <v>6</v>
      </c>
      <c r="D36" s="184">
        <v>1700</v>
      </c>
      <c r="E36" s="184">
        <f t="shared" si="0"/>
        <v>10200</v>
      </c>
      <c r="F36" s="176">
        <f t="shared" si="1"/>
        <v>2.5499999999999998</v>
      </c>
      <c r="G36" s="176">
        <f t="shared" si="2"/>
        <v>2</v>
      </c>
      <c r="H36" s="184">
        <f t="shared" si="3"/>
        <v>2200</v>
      </c>
    </row>
    <row r="37" spans="1:14" x14ac:dyDescent="0.25">
      <c r="A37" s="1">
        <v>25</v>
      </c>
      <c r="B37" s="1" t="s">
        <v>396</v>
      </c>
      <c r="C37" s="1">
        <v>5</v>
      </c>
      <c r="D37" s="184">
        <v>800</v>
      </c>
      <c r="E37" s="184">
        <f t="shared" si="0"/>
        <v>4000</v>
      </c>
      <c r="F37" s="176">
        <f t="shared" si="1"/>
        <v>1</v>
      </c>
      <c r="G37" s="176">
        <f t="shared" si="2"/>
        <v>1</v>
      </c>
      <c r="H37" s="184">
        <f t="shared" si="3"/>
        <v>0</v>
      </c>
    </row>
    <row r="38" spans="1:14" x14ac:dyDescent="0.25">
      <c r="A38" s="1">
        <v>26</v>
      </c>
      <c r="B38" s="1" t="s">
        <v>397</v>
      </c>
      <c r="C38" s="1">
        <v>4</v>
      </c>
      <c r="D38" s="184">
        <v>1300</v>
      </c>
      <c r="E38" s="184">
        <f t="shared" si="0"/>
        <v>5200</v>
      </c>
      <c r="F38" s="176">
        <f t="shared" si="1"/>
        <v>1.3</v>
      </c>
      <c r="G38" s="176">
        <f t="shared" si="2"/>
        <v>1</v>
      </c>
      <c r="H38" s="184">
        <f t="shared" si="3"/>
        <v>1200</v>
      </c>
    </row>
    <row r="39" spans="1:14" x14ac:dyDescent="0.25">
      <c r="A39" s="1">
        <v>27</v>
      </c>
      <c r="B39" s="1" t="s">
        <v>398</v>
      </c>
      <c r="C39" s="1">
        <v>7</v>
      </c>
      <c r="D39" s="184">
        <v>9500</v>
      </c>
      <c r="E39" s="184">
        <f t="shared" si="0"/>
        <v>66500</v>
      </c>
      <c r="F39" s="176">
        <f t="shared" si="1"/>
        <v>16.625</v>
      </c>
      <c r="G39" s="176">
        <f t="shared" si="2"/>
        <v>16</v>
      </c>
      <c r="H39" s="184">
        <f t="shared" si="3"/>
        <v>2500</v>
      </c>
    </row>
    <row r="40" spans="1:14" x14ac:dyDescent="0.25">
      <c r="A40" s="1">
        <v>28</v>
      </c>
      <c r="B40" s="1" t="s">
        <v>399</v>
      </c>
      <c r="C40" s="1">
        <v>5</v>
      </c>
      <c r="D40" s="184">
        <v>12000</v>
      </c>
      <c r="E40" s="184">
        <f t="shared" si="0"/>
        <v>60000</v>
      </c>
      <c r="F40" s="176">
        <f t="shared" si="1"/>
        <v>15</v>
      </c>
      <c r="G40" s="176">
        <f t="shared" si="2"/>
        <v>15</v>
      </c>
      <c r="H40" s="184">
        <f t="shared" si="3"/>
        <v>0</v>
      </c>
    </row>
    <row r="41" spans="1:14" x14ac:dyDescent="0.25">
      <c r="A41" s="1">
        <v>29</v>
      </c>
      <c r="B41" s="1" t="s">
        <v>400</v>
      </c>
      <c r="C41" s="1">
        <v>15</v>
      </c>
      <c r="D41" s="184">
        <v>6500</v>
      </c>
      <c r="E41" s="184">
        <f t="shared" si="0"/>
        <v>97500</v>
      </c>
      <c r="F41" s="176">
        <f t="shared" si="1"/>
        <v>24.375</v>
      </c>
      <c r="G41" s="176">
        <f t="shared" si="2"/>
        <v>24</v>
      </c>
      <c r="H41" s="184">
        <f t="shared" si="3"/>
        <v>1500</v>
      </c>
    </row>
    <row r="42" spans="1:14" x14ac:dyDescent="0.25">
      <c r="A42" s="1">
        <v>30</v>
      </c>
      <c r="B42" s="1" t="s">
        <v>401</v>
      </c>
      <c r="C42" s="1">
        <v>4</v>
      </c>
      <c r="D42" s="184">
        <v>4500</v>
      </c>
      <c r="E42" s="184">
        <f t="shared" si="0"/>
        <v>18000</v>
      </c>
      <c r="F42" s="176">
        <f t="shared" si="1"/>
        <v>4.5</v>
      </c>
      <c r="G42" s="176">
        <f t="shared" si="2"/>
        <v>4</v>
      </c>
      <c r="H42" s="184">
        <f t="shared" si="3"/>
        <v>2000</v>
      </c>
    </row>
    <row r="43" spans="1:14" x14ac:dyDescent="0.25">
      <c r="A43" s="54"/>
      <c r="B43" s="55"/>
      <c r="C43" s="55"/>
      <c r="D43" s="55"/>
      <c r="E43" s="55"/>
      <c r="F43" s="55"/>
      <c r="G43" s="55"/>
      <c r="H43" s="59"/>
    </row>
    <row r="44" spans="1:14" x14ac:dyDescent="0.25">
      <c r="A44" s="51" t="s">
        <v>402</v>
      </c>
      <c r="B44" s="52"/>
      <c r="C44" s="52"/>
      <c r="D44" s="52"/>
      <c r="E44" s="52"/>
      <c r="F44" s="52"/>
      <c r="G44" s="52"/>
      <c r="H44" s="53"/>
    </row>
    <row r="45" spans="1:14" ht="18" x14ac:dyDescent="0.45">
      <c r="A45" s="51"/>
      <c r="B45" s="219" t="s">
        <v>403</v>
      </c>
      <c r="C45" s="220" t="s">
        <v>404</v>
      </c>
      <c r="D45" s="220"/>
      <c r="E45" s="52"/>
      <c r="F45" s="52"/>
      <c r="G45" s="52"/>
      <c r="H45" s="53"/>
    </row>
    <row r="46" spans="1:14" ht="18" x14ac:dyDescent="0.45">
      <c r="A46" s="51"/>
      <c r="B46" s="219" t="s">
        <v>405</v>
      </c>
      <c r="C46" s="220" t="s">
        <v>406</v>
      </c>
      <c r="D46" s="220"/>
      <c r="E46" s="52"/>
      <c r="F46" s="52"/>
      <c r="G46" s="52"/>
      <c r="H46" s="53"/>
    </row>
    <row r="47" spans="1:14" ht="18" x14ac:dyDescent="0.45">
      <c r="A47" s="51"/>
      <c r="B47" s="219" t="s">
        <v>407</v>
      </c>
      <c r="C47" s="220" t="s">
        <v>408</v>
      </c>
      <c r="D47" s="220"/>
      <c r="E47" s="52"/>
      <c r="F47" s="52"/>
      <c r="G47" s="52"/>
      <c r="H47" s="53"/>
      <c r="M47" s="185"/>
      <c r="N47" s="185"/>
    </row>
    <row r="48" spans="1:14" ht="18" x14ac:dyDescent="0.45">
      <c r="A48" s="51"/>
      <c r="B48" s="219" t="s">
        <v>409</v>
      </c>
      <c r="C48" s="220" t="s">
        <v>410</v>
      </c>
      <c r="D48" s="220"/>
      <c r="E48" s="52"/>
      <c r="F48" s="52"/>
      <c r="G48" s="52"/>
      <c r="H48" s="53"/>
      <c r="M48" s="185"/>
      <c r="N48" s="185"/>
    </row>
    <row r="49" spans="1:14" ht="18" x14ac:dyDescent="0.45">
      <c r="A49" s="51"/>
      <c r="B49" s="219" t="s">
        <v>411</v>
      </c>
      <c r="C49" s="220" t="s">
        <v>412</v>
      </c>
      <c r="D49" s="220"/>
      <c r="E49" s="52"/>
      <c r="F49" s="52"/>
      <c r="G49" s="52"/>
      <c r="H49" s="53"/>
      <c r="M49" s="185"/>
      <c r="N49" s="185"/>
    </row>
    <row r="50" spans="1:14" ht="18" x14ac:dyDescent="0.45">
      <c r="A50" s="221"/>
      <c r="B50" s="186" t="s">
        <v>374</v>
      </c>
      <c r="C50" s="218" t="s">
        <v>413</v>
      </c>
      <c r="D50" s="218"/>
      <c r="E50" s="79"/>
      <c r="F50" s="79"/>
      <c r="G50" s="79"/>
      <c r="H50" s="187"/>
      <c r="M50" s="185"/>
      <c r="N50" s="185"/>
    </row>
    <row r="51" spans="1:14" x14ac:dyDescent="0.25">
      <c r="M51" s="185"/>
      <c r="N51" s="185"/>
    </row>
    <row r="52" spans="1:14" x14ac:dyDescent="0.25">
      <c r="M52" s="185"/>
      <c r="N52" s="185"/>
    </row>
  </sheetData>
  <mergeCells count="10">
    <mergeCell ref="A1:H8"/>
    <mergeCell ref="A9:H9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25" right="0.25" top="0.75" bottom="0.75" header="0.3" footer="0.3"/>
  <pageSetup paperSize="9" scale="96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H24"/>
  <sheetViews>
    <sheetView topLeftCell="A7" workbookViewId="0">
      <selection activeCell="H27" sqref="H27"/>
    </sheetView>
  </sheetViews>
  <sheetFormatPr defaultRowHeight="15" x14ac:dyDescent="0.25"/>
  <cols>
    <col min="1" max="1" width="9.7109375" bestFit="1" customWidth="1"/>
    <col min="2" max="2" width="15.140625" customWidth="1"/>
    <col min="3" max="6" width="10.7109375" customWidth="1"/>
    <col min="7" max="7" width="16" customWidth="1"/>
    <col min="8" max="8" width="16.28515625" customWidth="1"/>
  </cols>
  <sheetData>
    <row r="1" spans="1:8" x14ac:dyDescent="0.25">
      <c r="A1" s="393" t="s">
        <v>564</v>
      </c>
      <c r="B1" s="394"/>
      <c r="C1" s="394"/>
      <c r="D1" s="394"/>
      <c r="E1" s="394"/>
      <c r="F1" s="394"/>
      <c r="G1" s="394"/>
      <c r="H1" s="395"/>
    </row>
    <row r="2" spans="1:8" x14ac:dyDescent="0.25">
      <c r="A2" s="396"/>
      <c r="B2" s="397"/>
      <c r="C2" s="397"/>
      <c r="D2" s="397"/>
      <c r="E2" s="397"/>
      <c r="F2" s="397"/>
      <c r="G2" s="397"/>
      <c r="H2" s="398"/>
    </row>
    <row r="3" spans="1:8" x14ac:dyDescent="0.25">
      <c r="A3" s="396"/>
      <c r="B3" s="397"/>
      <c r="C3" s="397"/>
      <c r="D3" s="397"/>
      <c r="E3" s="397"/>
      <c r="F3" s="397"/>
      <c r="G3" s="397"/>
      <c r="H3" s="398"/>
    </row>
    <row r="4" spans="1:8" x14ac:dyDescent="0.25">
      <c r="A4" s="396"/>
      <c r="B4" s="397"/>
      <c r="C4" s="397"/>
      <c r="D4" s="397"/>
      <c r="E4" s="397"/>
      <c r="F4" s="397"/>
      <c r="G4" s="397"/>
      <c r="H4" s="398"/>
    </row>
    <row r="5" spans="1:8" x14ac:dyDescent="0.25">
      <c r="A5" s="396"/>
      <c r="B5" s="397"/>
      <c r="C5" s="397"/>
      <c r="D5" s="397"/>
      <c r="E5" s="397"/>
      <c r="F5" s="397"/>
      <c r="G5" s="397"/>
      <c r="H5" s="398"/>
    </row>
    <row r="6" spans="1:8" x14ac:dyDescent="0.25">
      <c r="A6" s="399"/>
      <c r="B6" s="400"/>
      <c r="C6" s="400"/>
      <c r="D6" s="400"/>
      <c r="E6" s="400"/>
      <c r="F6" s="400"/>
      <c r="G6" s="400"/>
      <c r="H6" s="401"/>
    </row>
    <row r="7" spans="1:8" x14ac:dyDescent="0.25">
      <c r="A7" s="224" t="s">
        <v>129</v>
      </c>
      <c r="B7" s="223" t="s">
        <v>567</v>
      </c>
      <c r="C7" s="223" t="s">
        <v>568</v>
      </c>
      <c r="D7" s="223" t="s">
        <v>569</v>
      </c>
      <c r="E7" s="223" t="s">
        <v>570</v>
      </c>
      <c r="F7" s="223" t="s">
        <v>571</v>
      </c>
      <c r="G7" s="223" t="s">
        <v>572</v>
      </c>
      <c r="H7" s="223" t="s">
        <v>573</v>
      </c>
    </row>
    <row r="8" spans="1:8" x14ac:dyDescent="0.25">
      <c r="A8" s="222">
        <v>0</v>
      </c>
      <c r="B8" s="1" t="s">
        <v>115</v>
      </c>
      <c r="C8" s="228">
        <v>5000</v>
      </c>
      <c r="D8" s="228">
        <v>5500</v>
      </c>
      <c r="E8" s="228">
        <v>4500</v>
      </c>
      <c r="F8" s="228">
        <v>5000</v>
      </c>
      <c r="G8" s="232">
        <f>SUM(C8:F8)</f>
        <v>20000</v>
      </c>
      <c r="H8" s="233">
        <f>G8*4000</f>
        <v>80000000</v>
      </c>
    </row>
    <row r="9" spans="1:8" x14ac:dyDescent="0.25">
      <c r="A9" s="222">
        <v>0</v>
      </c>
      <c r="B9" s="1" t="s">
        <v>574</v>
      </c>
      <c r="C9" s="228">
        <v>100</v>
      </c>
      <c r="D9" s="228">
        <v>90</v>
      </c>
      <c r="E9" s="228">
        <v>70</v>
      </c>
      <c r="F9" s="228">
        <v>95</v>
      </c>
      <c r="G9" s="232">
        <f t="shared" ref="G9:G12" si="0">SUM(C9:F9)</f>
        <v>355</v>
      </c>
      <c r="H9" s="233">
        <f t="shared" ref="H9:H12" si="1">G9*4000</f>
        <v>1420000</v>
      </c>
    </row>
    <row r="10" spans="1:8" x14ac:dyDescent="0.25">
      <c r="A10" s="222">
        <v>0</v>
      </c>
      <c r="B10" s="1" t="s">
        <v>575</v>
      </c>
      <c r="C10" s="228">
        <v>20</v>
      </c>
      <c r="D10" s="228">
        <v>30</v>
      </c>
      <c r="E10" s="228">
        <v>15</v>
      </c>
      <c r="F10" s="228">
        <v>35</v>
      </c>
      <c r="G10" s="232">
        <f t="shared" si="0"/>
        <v>100</v>
      </c>
      <c r="H10" s="233">
        <f t="shared" si="1"/>
        <v>400000</v>
      </c>
    </row>
    <row r="11" spans="1:8" x14ac:dyDescent="0.25">
      <c r="A11" s="222">
        <v>0</v>
      </c>
      <c r="B11" s="1" t="s">
        <v>576</v>
      </c>
      <c r="C11" s="228">
        <v>50</v>
      </c>
      <c r="D11" s="228">
        <v>60</v>
      </c>
      <c r="E11" s="228">
        <v>40</v>
      </c>
      <c r="F11" s="228">
        <v>55</v>
      </c>
      <c r="G11" s="232">
        <f t="shared" si="0"/>
        <v>205</v>
      </c>
      <c r="H11" s="233">
        <f t="shared" si="1"/>
        <v>820000</v>
      </c>
    </row>
    <row r="12" spans="1:8" x14ac:dyDescent="0.25">
      <c r="A12" s="222">
        <v>0</v>
      </c>
      <c r="B12" s="1" t="s">
        <v>577</v>
      </c>
      <c r="C12" s="228">
        <v>200</v>
      </c>
      <c r="D12" s="228">
        <v>210</v>
      </c>
      <c r="E12" s="228">
        <v>190</v>
      </c>
      <c r="F12" s="228">
        <v>205</v>
      </c>
      <c r="G12" s="232">
        <f t="shared" si="0"/>
        <v>805</v>
      </c>
      <c r="H12" s="233">
        <f t="shared" si="1"/>
        <v>3220000</v>
      </c>
    </row>
    <row r="13" spans="1:8" x14ac:dyDescent="0.25">
      <c r="B13" s="234" t="s">
        <v>583</v>
      </c>
      <c r="C13" s="232">
        <f>SUM(C8:C12)</f>
        <v>5370</v>
      </c>
      <c r="D13" s="232">
        <f t="shared" ref="D13:H13" si="2">SUM(D8:D12)</f>
        <v>5890</v>
      </c>
      <c r="E13" s="232">
        <f t="shared" si="2"/>
        <v>4815</v>
      </c>
      <c r="F13" s="232">
        <f t="shared" si="2"/>
        <v>5390</v>
      </c>
      <c r="G13" s="232">
        <f t="shared" si="2"/>
        <v>21465</v>
      </c>
      <c r="H13" s="233">
        <f t="shared" si="2"/>
        <v>85860000</v>
      </c>
    </row>
    <row r="14" spans="1:8" x14ac:dyDescent="0.25">
      <c r="C14" s="226"/>
      <c r="D14" s="226"/>
      <c r="E14" s="226"/>
      <c r="F14" s="226"/>
      <c r="G14" s="226"/>
    </row>
    <row r="15" spans="1:8" x14ac:dyDescent="0.25">
      <c r="C15" s="226"/>
      <c r="D15" s="226"/>
      <c r="E15" s="226"/>
      <c r="F15" s="226"/>
      <c r="G15" s="226"/>
    </row>
    <row r="16" spans="1:8" x14ac:dyDescent="0.25">
      <c r="A16" s="225" t="s">
        <v>129</v>
      </c>
      <c r="B16" s="223" t="s">
        <v>567</v>
      </c>
      <c r="C16" s="229" t="s">
        <v>568</v>
      </c>
      <c r="D16" s="229" t="s">
        <v>569</v>
      </c>
      <c r="E16" s="229" t="s">
        <v>570</v>
      </c>
      <c r="F16" s="229" t="s">
        <v>571</v>
      </c>
      <c r="G16" s="229" t="s">
        <v>582</v>
      </c>
      <c r="H16" s="223" t="s">
        <v>573</v>
      </c>
    </row>
    <row r="17" spans="1:8" x14ac:dyDescent="0.25">
      <c r="A17" s="222">
        <v>0</v>
      </c>
      <c r="B17" s="1" t="s">
        <v>578</v>
      </c>
      <c r="C17" s="228">
        <v>3000</v>
      </c>
      <c r="D17" s="228">
        <v>3100</v>
      </c>
      <c r="E17" s="230">
        <v>3000</v>
      </c>
      <c r="F17" s="228">
        <v>3000</v>
      </c>
      <c r="G17" s="232">
        <f>SUM(C17:F17)</f>
        <v>12100</v>
      </c>
      <c r="H17" s="233">
        <f>G17*4000</f>
        <v>48400000</v>
      </c>
    </row>
    <row r="18" spans="1:8" x14ac:dyDescent="0.25">
      <c r="A18" s="222">
        <v>0</v>
      </c>
      <c r="B18" s="1" t="s">
        <v>579</v>
      </c>
      <c r="C18" s="228">
        <v>100</v>
      </c>
      <c r="D18" s="228">
        <v>110</v>
      </c>
      <c r="E18" s="230">
        <v>90</v>
      </c>
      <c r="F18" s="228">
        <v>100</v>
      </c>
      <c r="G18" s="232">
        <f t="shared" ref="G18:G20" si="3">SUM(C18:F18)</f>
        <v>400</v>
      </c>
      <c r="H18" s="233">
        <f t="shared" ref="H18:H21" si="4">G18*4000</f>
        <v>1600000</v>
      </c>
    </row>
    <row r="19" spans="1:8" x14ac:dyDescent="0.25">
      <c r="A19" s="222">
        <v>0</v>
      </c>
      <c r="B19" s="1" t="s">
        <v>580</v>
      </c>
      <c r="C19" s="228">
        <v>500</v>
      </c>
      <c r="D19" s="228">
        <v>500</v>
      </c>
      <c r="E19" s="230">
        <v>500</v>
      </c>
      <c r="F19" s="228">
        <v>500</v>
      </c>
      <c r="G19" s="232">
        <f t="shared" si="3"/>
        <v>2000</v>
      </c>
      <c r="H19" s="233">
        <f t="shared" si="4"/>
        <v>8000000</v>
      </c>
    </row>
    <row r="20" spans="1:8" x14ac:dyDescent="0.25">
      <c r="A20" s="222">
        <v>0</v>
      </c>
      <c r="B20" s="1" t="s">
        <v>581</v>
      </c>
      <c r="C20" s="228">
        <v>500</v>
      </c>
      <c r="D20" s="228">
        <v>510</v>
      </c>
      <c r="E20" s="230">
        <v>480</v>
      </c>
      <c r="F20" s="228">
        <v>500</v>
      </c>
      <c r="G20" s="232">
        <f t="shared" si="3"/>
        <v>1990</v>
      </c>
      <c r="H20" s="233">
        <f t="shared" si="4"/>
        <v>7960000</v>
      </c>
    </row>
    <row r="21" spans="1:8" x14ac:dyDescent="0.25">
      <c r="A21" s="222">
        <v>0</v>
      </c>
      <c r="B21" s="1" t="s">
        <v>122</v>
      </c>
      <c r="C21" s="228">
        <v>20</v>
      </c>
      <c r="D21" s="228">
        <v>30</v>
      </c>
      <c r="E21" s="230">
        <v>20</v>
      </c>
      <c r="F21" s="228">
        <v>25</v>
      </c>
      <c r="G21" s="232">
        <f>SUM(C21:F21)</f>
        <v>95</v>
      </c>
      <c r="H21" s="233">
        <f t="shared" si="4"/>
        <v>380000</v>
      </c>
    </row>
    <row r="22" spans="1:8" x14ac:dyDescent="0.25">
      <c r="B22" s="234" t="s">
        <v>584</v>
      </c>
      <c r="C22" s="232">
        <f>SUM(C17:C21)</f>
        <v>4120</v>
      </c>
      <c r="D22" s="232">
        <f t="shared" ref="D22:H22" si="5">SUM(D17:D21)</f>
        <v>4250</v>
      </c>
      <c r="E22" s="235">
        <f t="shared" si="5"/>
        <v>4090</v>
      </c>
      <c r="F22" s="232">
        <f t="shared" si="5"/>
        <v>4125</v>
      </c>
      <c r="G22" s="232">
        <f t="shared" si="5"/>
        <v>16585</v>
      </c>
      <c r="H22" s="233">
        <f t="shared" si="5"/>
        <v>66340000</v>
      </c>
    </row>
    <row r="23" spans="1:8" x14ac:dyDescent="0.25">
      <c r="C23" s="231"/>
      <c r="D23" s="231"/>
      <c r="E23" s="231"/>
      <c r="F23" s="231"/>
      <c r="G23" s="231"/>
      <c r="H23" s="227"/>
    </row>
    <row r="24" spans="1:8" x14ac:dyDescent="0.25">
      <c r="B24" s="234" t="s">
        <v>585</v>
      </c>
      <c r="C24" s="232">
        <f>C13-C22</f>
        <v>1250</v>
      </c>
      <c r="D24" s="232">
        <f t="shared" ref="D24:H24" si="6">D13-D22</f>
        <v>1640</v>
      </c>
      <c r="E24" s="236">
        <f t="shared" si="6"/>
        <v>725</v>
      </c>
      <c r="F24" s="232">
        <f t="shared" si="6"/>
        <v>1265</v>
      </c>
      <c r="G24" s="232">
        <f t="shared" si="6"/>
        <v>4880</v>
      </c>
      <c r="H24" s="233">
        <f t="shared" si="6"/>
        <v>19520000</v>
      </c>
    </row>
  </sheetData>
  <mergeCells count="1">
    <mergeCell ref="A1:H6"/>
  </mergeCells>
  <pageMargins left="0.25" right="0.25" top="0.75" bottom="0.75" header="0.3" footer="0.3"/>
  <pageSetup paperSize="9" scale="98"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M30"/>
  <sheetViews>
    <sheetView workbookViewId="0">
      <selection activeCell="L25" sqref="L25"/>
    </sheetView>
  </sheetViews>
  <sheetFormatPr defaultRowHeight="15" x14ac:dyDescent="0.25"/>
  <cols>
    <col min="1" max="1" width="15.28515625" customWidth="1"/>
    <col min="2" max="2" width="12.85546875" customWidth="1"/>
    <col min="3" max="9" width="13.140625" customWidth="1"/>
    <col min="10" max="10" width="12.7109375" customWidth="1"/>
  </cols>
  <sheetData>
    <row r="1" spans="1:13" x14ac:dyDescent="0.25">
      <c r="A1" s="1"/>
      <c r="B1" s="1">
        <v>1996</v>
      </c>
      <c r="C1" s="1">
        <v>1997</v>
      </c>
      <c r="D1" s="1">
        <v>1998</v>
      </c>
      <c r="E1" s="1">
        <v>1999</v>
      </c>
      <c r="F1" s="1">
        <v>2000</v>
      </c>
      <c r="G1" s="1">
        <v>2001</v>
      </c>
      <c r="H1" s="1">
        <v>2002</v>
      </c>
      <c r="I1" s="1">
        <v>2003</v>
      </c>
      <c r="J1" s="1">
        <v>2004</v>
      </c>
      <c r="K1" s="150"/>
      <c r="L1" s="150"/>
      <c r="M1" s="150"/>
    </row>
    <row r="2" spans="1:13" x14ac:dyDescent="0.25">
      <c r="A2" s="1" t="s">
        <v>23</v>
      </c>
      <c r="B2" s="176">
        <v>100000</v>
      </c>
      <c r="C2" s="176">
        <v>50000</v>
      </c>
      <c r="D2" s="176">
        <v>120000</v>
      </c>
      <c r="E2" s="176">
        <v>40000</v>
      </c>
      <c r="F2" s="176">
        <v>40000</v>
      </c>
      <c r="G2" s="176">
        <v>150000</v>
      </c>
      <c r="H2" s="176">
        <v>120000</v>
      </c>
      <c r="I2" s="176">
        <v>150000</v>
      </c>
      <c r="J2" s="176">
        <v>23600</v>
      </c>
      <c r="K2" s="150"/>
      <c r="L2" s="150"/>
      <c r="M2" s="150"/>
    </row>
    <row r="3" spans="1:13" x14ac:dyDescent="0.25">
      <c r="A3" s="1" t="s">
        <v>565</v>
      </c>
      <c r="B3" s="176">
        <v>54000</v>
      </c>
      <c r="C3" s="176">
        <v>23500</v>
      </c>
      <c r="D3" s="176">
        <v>12400</v>
      </c>
      <c r="E3" s="176">
        <v>12587</v>
      </c>
      <c r="F3" s="176">
        <v>12500</v>
      </c>
      <c r="G3" s="176">
        <v>124580</v>
      </c>
      <c r="H3" s="176">
        <v>125000</v>
      </c>
      <c r="I3" s="176">
        <v>45000</v>
      </c>
      <c r="J3" s="176">
        <v>250000</v>
      </c>
      <c r="K3" s="150"/>
      <c r="L3" s="150"/>
      <c r="M3" s="150"/>
    </row>
    <row r="4" spans="1:13" x14ac:dyDescent="0.25">
      <c r="A4" s="1" t="s">
        <v>566</v>
      </c>
      <c r="B4" s="176">
        <v>65000</v>
      </c>
      <c r="C4" s="176">
        <v>250000</v>
      </c>
      <c r="D4" s="176">
        <v>20000</v>
      </c>
      <c r="E4" s="176">
        <v>15000</v>
      </c>
      <c r="F4" s="176">
        <v>14000</v>
      </c>
      <c r="G4" s="176">
        <v>125400</v>
      </c>
      <c r="H4" s="176">
        <v>12000</v>
      </c>
      <c r="I4" s="176">
        <v>125000</v>
      </c>
      <c r="J4" s="176">
        <v>124000</v>
      </c>
      <c r="K4" s="150"/>
      <c r="L4" s="150"/>
      <c r="M4" s="150"/>
    </row>
    <row r="5" spans="1:13" x14ac:dyDescent="0.25">
      <c r="A5" s="92"/>
      <c r="B5" s="92"/>
      <c r="C5" s="92"/>
      <c r="D5" s="92"/>
      <c r="E5" s="92"/>
      <c r="F5" s="92"/>
      <c r="G5" s="92"/>
      <c r="H5" s="92"/>
      <c r="I5" s="92"/>
      <c r="J5" s="92"/>
      <c r="K5" s="150"/>
      <c r="L5" s="150"/>
      <c r="M5" s="150"/>
    </row>
    <row r="6" spans="1:13" x14ac:dyDescent="0.2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3" x14ac:dyDescent="0.2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3" x14ac:dyDescent="0.2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3" x14ac:dyDescent="0.2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3" x14ac:dyDescent="0.2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3" x14ac:dyDescent="0.2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3" x14ac:dyDescent="0.2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3" x14ac:dyDescent="0.2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3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3" x14ac:dyDescent="0.2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spans="1:13" x14ac:dyDescent="0.2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</row>
    <row r="17" spans="1:12" x14ac:dyDescent="0.2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</row>
    <row r="18" spans="1:12" x14ac:dyDescent="0.2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</row>
    <row r="19" spans="1:12" x14ac:dyDescent="0.2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</row>
    <row r="20" spans="1:12" x14ac:dyDescent="0.25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</row>
    <row r="21" spans="1:12" x14ac:dyDescent="0.2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</row>
    <row r="22" spans="1:12" x14ac:dyDescent="0.2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</row>
    <row r="23" spans="1:12" x14ac:dyDescent="0.25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</row>
    <row r="24" spans="1:12" x14ac:dyDescent="0.25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1:12" x14ac:dyDescent="0.25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</row>
    <row r="26" spans="1:12" x14ac:dyDescent="0.2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</row>
    <row r="27" spans="1:12" x14ac:dyDescent="0.2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</row>
    <row r="28" spans="1:12" x14ac:dyDescent="0.25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</row>
    <row r="29" spans="1:12" x14ac:dyDescent="0.25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</row>
    <row r="30" spans="1:12" x14ac:dyDescent="0.25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</row>
  </sheetData>
  <pageMargins left="0.25" right="0.25" top="0.75" bottom="0.75" header="0.3" footer="0.3"/>
  <pageSetup paperSize="9" scale="94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6" sqref="H6"/>
    </sheetView>
  </sheetViews>
  <sheetFormatPr defaultRowHeight="15" x14ac:dyDescent="0.25"/>
  <cols>
    <col min="1" max="1" width="4.140625" customWidth="1"/>
    <col min="2" max="5" width="18.5703125" customWidth="1"/>
    <col min="6" max="6" width="13.28515625" customWidth="1"/>
    <col min="7" max="7" width="27.42578125" customWidth="1"/>
  </cols>
  <sheetData>
    <row r="2" spans="1:7" x14ac:dyDescent="0.25">
      <c r="G2" s="240"/>
    </row>
    <row r="3" spans="1:7" x14ac:dyDescent="0.25">
      <c r="A3" s="85" t="s">
        <v>129</v>
      </c>
      <c r="B3" s="85" t="s">
        <v>2</v>
      </c>
      <c r="C3" s="85" t="s">
        <v>586</v>
      </c>
      <c r="D3" s="85" t="s">
        <v>587</v>
      </c>
      <c r="E3" s="85" t="s">
        <v>588</v>
      </c>
      <c r="F3" s="238" t="s">
        <v>589</v>
      </c>
      <c r="G3" s="240"/>
    </row>
    <row r="4" spans="1:7" x14ac:dyDescent="0.25">
      <c r="A4" s="85">
        <v>1</v>
      </c>
      <c r="B4" s="85" t="s">
        <v>590</v>
      </c>
      <c r="C4" s="239">
        <v>35432</v>
      </c>
      <c r="D4" s="85">
        <f ca="1">DATEDIF(C4,NOW(),"Y")</f>
        <v>20</v>
      </c>
      <c r="E4" s="85">
        <f ca="1">DATEDIF(C4,NOW(),"YM")</f>
        <v>5</v>
      </c>
      <c r="F4" s="85">
        <f ca="1">DATEDIF(C4,NOW(),"md")</f>
        <v>5</v>
      </c>
      <c r="G4" s="240"/>
    </row>
    <row r="5" spans="1:7" x14ac:dyDescent="0.25">
      <c r="A5" s="85">
        <v>2</v>
      </c>
      <c r="B5" s="85" t="s">
        <v>591</v>
      </c>
      <c r="C5" s="239">
        <v>40136</v>
      </c>
      <c r="D5" s="85">
        <f t="shared" ref="D5:D6" ca="1" si="0">DATEDIF(C5,NOW(),"Y")</f>
        <v>7</v>
      </c>
      <c r="E5" s="85">
        <f t="shared" ref="E5:E6" ca="1" si="1">DATEDIF(C5,NOW(),"YM")</f>
        <v>6</v>
      </c>
      <c r="F5" s="85">
        <f t="shared" ref="F5:F6" ca="1" si="2">DATEDIF(C5,NOW(),"md")</f>
        <v>19</v>
      </c>
      <c r="G5" s="240"/>
    </row>
    <row r="6" spans="1:7" x14ac:dyDescent="0.25">
      <c r="A6" s="85">
        <v>3</v>
      </c>
      <c r="B6" s="85" t="s">
        <v>592</v>
      </c>
      <c r="C6" s="239">
        <v>36600</v>
      </c>
      <c r="D6" s="85">
        <f t="shared" ca="1" si="0"/>
        <v>17</v>
      </c>
      <c r="E6" s="85">
        <f t="shared" ca="1" si="1"/>
        <v>2</v>
      </c>
      <c r="F6" s="85">
        <f t="shared" ca="1" si="2"/>
        <v>23</v>
      </c>
      <c r="G6" s="240"/>
    </row>
    <row r="7" spans="1:7" x14ac:dyDescent="0.25">
      <c r="A7" s="85">
        <v>4</v>
      </c>
      <c r="B7" s="85"/>
      <c r="C7" s="85"/>
      <c r="D7" s="85"/>
      <c r="E7" s="85"/>
      <c r="F7" s="85"/>
      <c r="G7" s="240"/>
    </row>
    <row r="8" spans="1:7" x14ac:dyDescent="0.25">
      <c r="A8" s="85">
        <v>5</v>
      </c>
      <c r="B8" s="85"/>
      <c r="C8" s="85"/>
      <c r="D8" s="85"/>
      <c r="E8" s="85"/>
      <c r="F8" s="85"/>
      <c r="G8" s="240"/>
    </row>
    <row r="9" spans="1:7" x14ac:dyDescent="0.25">
      <c r="A9" s="85">
        <v>6</v>
      </c>
      <c r="B9" s="85"/>
      <c r="C9" s="85"/>
      <c r="D9" s="85"/>
      <c r="E9" s="85"/>
      <c r="F9" s="85"/>
      <c r="G9" s="240"/>
    </row>
    <row r="10" spans="1:7" x14ac:dyDescent="0.25">
      <c r="A10" s="85">
        <v>7</v>
      </c>
      <c r="B10" s="85"/>
      <c r="C10" s="85"/>
      <c r="D10" s="85"/>
      <c r="E10" s="85"/>
      <c r="F10" s="85"/>
      <c r="G10" s="240"/>
    </row>
    <row r="11" spans="1:7" x14ac:dyDescent="0.25">
      <c r="A11" s="85">
        <v>8</v>
      </c>
      <c r="B11" s="85"/>
      <c r="C11" s="85"/>
      <c r="D11" s="85"/>
      <c r="E11" s="85"/>
      <c r="F11" s="85"/>
      <c r="G11" s="240"/>
    </row>
    <row r="12" spans="1:7" x14ac:dyDescent="0.25">
      <c r="G12" s="240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51"/>
  <sheetViews>
    <sheetView topLeftCell="B2" workbookViewId="0">
      <selection activeCell="L6" sqref="L6"/>
    </sheetView>
  </sheetViews>
  <sheetFormatPr defaultRowHeight="15" x14ac:dyDescent="0.25"/>
  <cols>
    <col min="1" max="1" width="6.85546875" customWidth="1"/>
    <col min="2" max="2" width="9.5703125" customWidth="1"/>
    <col min="3" max="3" width="13.5703125" customWidth="1"/>
    <col min="4" max="4" width="6.28515625" customWidth="1"/>
    <col min="5" max="5" width="13.7109375" customWidth="1"/>
    <col min="6" max="6" width="14.140625" customWidth="1"/>
    <col min="7" max="7" width="12" customWidth="1"/>
    <col min="8" max="8" width="20.140625" customWidth="1"/>
    <col min="9" max="9" width="11.28515625" customWidth="1"/>
    <col min="10" max="10" width="10.5703125" customWidth="1"/>
    <col min="11" max="11" width="13.140625" customWidth="1"/>
    <col min="14" max="14" width="15.85546875" customWidth="1"/>
  </cols>
  <sheetData>
    <row r="1" spans="1:13" x14ac:dyDescent="0.25">
      <c r="A1" s="251" t="s">
        <v>5</v>
      </c>
      <c r="B1" s="251"/>
      <c r="C1" s="251"/>
      <c r="D1" s="251"/>
      <c r="E1" s="251"/>
      <c r="F1" s="251"/>
      <c r="G1" s="251"/>
      <c r="H1" s="251"/>
      <c r="I1" s="251"/>
    </row>
    <row r="2" spans="1:13" x14ac:dyDescent="0.25">
      <c r="A2" s="251"/>
      <c r="B2" s="251"/>
      <c r="C2" s="251"/>
      <c r="D2" s="251"/>
      <c r="E2" s="251"/>
      <c r="F2" s="251"/>
      <c r="G2" s="251"/>
      <c r="H2" s="251"/>
      <c r="I2" s="251"/>
    </row>
    <row r="3" spans="1:13" x14ac:dyDescent="0.25">
      <c r="A3" s="251"/>
      <c r="B3" s="251"/>
      <c r="C3" s="251"/>
      <c r="D3" s="251"/>
      <c r="E3" s="251"/>
      <c r="F3" s="251"/>
      <c r="G3" s="251"/>
      <c r="H3" s="251"/>
      <c r="I3" s="251"/>
      <c r="J3" s="150"/>
      <c r="K3" s="150"/>
      <c r="L3" s="150"/>
      <c r="M3" s="150"/>
    </row>
    <row r="4" spans="1:13" x14ac:dyDescent="0.25">
      <c r="A4" s="252"/>
      <c r="B4" s="252"/>
      <c r="C4" s="252"/>
      <c r="D4" s="252"/>
      <c r="E4" s="252"/>
      <c r="F4" s="252"/>
      <c r="G4" s="252"/>
      <c r="H4" s="252"/>
      <c r="I4" s="252"/>
      <c r="J4" s="150"/>
      <c r="K4" s="150"/>
      <c r="L4" s="150"/>
      <c r="M4" s="150"/>
    </row>
    <row r="5" spans="1:13" x14ac:dyDescent="0.25">
      <c r="A5" s="15" t="s">
        <v>274</v>
      </c>
      <c r="B5" s="16" t="s">
        <v>3</v>
      </c>
      <c r="C5" s="16" t="s">
        <v>4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213"/>
      <c r="K5" s="150"/>
      <c r="L5" s="150"/>
      <c r="M5" s="150"/>
    </row>
    <row r="6" spans="1:13" x14ac:dyDescent="0.25">
      <c r="A6" s="13">
        <v>1</v>
      </c>
      <c r="B6" s="1" t="s">
        <v>6</v>
      </c>
      <c r="C6" s="1" t="s">
        <v>21</v>
      </c>
      <c r="D6" s="14" t="s">
        <v>22</v>
      </c>
      <c r="E6" s="17">
        <v>28852</v>
      </c>
      <c r="F6" s="1" t="s">
        <v>23</v>
      </c>
      <c r="G6" s="14" t="s">
        <v>24</v>
      </c>
      <c r="H6" s="14" t="s">
        <v>25</v>
      </c>
      <c r="I6" s="18">
        <v>1000</v>
      </c>
      <c r="J6" s="213" t="str">
        <f>IF(I6&gt;=500,"A","B")</f>
        <v>A</v>
      </c>
      <c r="K6" s="213">
        <f>IF(D6="F",10,5)</f>
        <v>5</v>
      </c>
      <c r="L6" s="150">
        <f>IF(I6&gt;800,I6-(I6*5%),IF(I6&gt;500,I6-(I6*3%),IF(I6&gt;300,I6-(I6*1%),I6)))</f>
        <v>950</v>
      </c>
      <c r="M6" s="150"/>
    </row>
    <row r="7" spans="1:13" ht="15" customHeight="1" x14ac:dyDescent="0.25">
      <c r="A7" s="13">
        <v>2</v>
      </c>
      <c r="B7" s="1" t="s">
        <v>13</v>
      </c>
      <c r="C7" s="1" t="s">
        <v>26</v>
      </c>
      <c r="D7" s="14" t="s">
        <v>27</v>
      </c>
      <c r="E7" s="17">
        <v>27783</v>
      </c>
      <c r="F7" s="1" t="s">
        <v>28</v>
      </c>
      <c r="G7" s="14" t="s">
        <v>24</v>
      </c>
      <c r="H7" s="14" t="s">
        <v>29</v>
      </c>
      <c r="I7" s="18">
        <v>800</v>
      </c>
      <c r="J7" s="213" t="str">
        <f t="shared" ref="J7:J25" si="0">IF(I7&gt;=500,"A","B")</f>
        <v>A</v>
      </c>
      <c r="K7" s="213">
        <f t="shared" ref="K7:K25" si="1">IF(D7="F",10,5)</f>
        <v>10</v>
      </c>
      <c r="L7" s="150">
        <f t="shared" ref="L7:L25" si="2">IF(I7&gt;800,I7-(I7*5%),IF(I7&gt;500,I7-(I7*3%),IF(I7&gt;300,I7-(I7*1%),I7)))</f>
        <v>776</v>
      </c>
      <c r="M7" s="150"/>
    </row>
    <row r="8" spans="1:13" x14ac:dyDescent="0.25">
      <c r="A8" s="13">
        <v>3</v>
      </c>
      <c r="B8" s="1" t="s">
        <v>14</v>
      </c>
      <c r="C8" s="1" t="s">
        <v>30</v>
      </c>
      <c r="D8" s="14" t="s">
        <v>27</v>
      </c>
      <c r="E8" s="19">
        <v>28677</v>
      </c>
      <c r="F8" s="1" t="s">
        <v>31</v>
      </c>
      <c r="G8" s="14" t="s">
        <v>32</v>
      </c>
      <c r="H8" s="14" t="s">
        <v>33</v>
      </c>
      <c r="I8" s="18">
        <v>500</v>
      </c>
      <c r="J8" s="213" t="str">
        <f t="shared" si="0"/>
        <v>A</v>
      </c>
      <c r="K8" s="213">
        <f t="shared" si="1"/>
        <v>10</v>
      </c>
      <c r="L8" s="150">
        <f t="shared" si="2"/>
        <v>495</v>
      </c>
      <c r="M8" s="150"/>
    </row>
    <row r="9" spans="1:13" x14ac:dyDescent="0.25">
      <c r="A9" s="13">
        <v>4</v>
      </c>
      <c r="B9" s="1" t="s">
        <v>15</v>
      </c>
      <c r="C9" s="1" t="s">
        <v>34</v>
      </c>
      <c r="D9" s="14" t="s">
        <v>22</v>
      </c>
      <c r="E9" s="19">
        <v>27124</v>
      </c>
      <c r="F9" s="1" t="s">
        <v>28</v>
      </c>
      <c r="G9" s="14" t="s">
        <v>32</v>
      </c>
      <c r="H9" s="14" t="s">
        <v>36</v>
      </c>
      <c r="I9" s="18">
        <v>480</v>
      </c>
      <c r="J9" s="213" t="str">
        <f t="shared" si="0"/>
        <v>B</v>
      </c>
      <c r="K9" s="213">
        <f t="shared" si="1"/>
        <v>5</v>
      </c>
      <c r="L9" s="150">
        <f t="shared" si="2"/>
        <v>475.2</v>
      </c>
      <c r="M9" s="150"/>
    </row>
    <row r="10" spans="1:13" x14ac:dyDescent="0.25">
      <c r="A10" s="13">
        <v>5</v>
      </c>
      <c r="B10" s="1" t="s">
        <v>16</v>
      </c>
      <c r="C10" s="1" t="s">
        <v>37</v>
      </c>
      <c r="D10" s="14" t="s">
        <v>22</v>
      </c>
      <c r="E10" s="19">
        <v>27820</v>
      </c>
      <c r="F10" s="1" t="s">
        <v>67</v>
      </c>
      <c r="G10" s="14" t="s">
        <v>24</v>
      </c>
      <c r="H10" s="14" t="s">
        <v>38</v>
      </c>
      <c r="I10" s="18">
        <v>450</v>
      </c>
      <c r="J10" s="213" t="str">
        <f t="shared" si="0"/>
        <v>B</v>
      </c>
      <c r="K10" s="213">
        <f t="shared" si="1"/>
        <v>5</v>
      </c>
      <c r="L10" s="150">
        <f t="shared" si="2"/>
        <v>445.5</v>
      </c>
      <c r="M10" s="150"/>
    </row>
    <row r="11" spans="1:13" x14ac:dyDescent="0.25">
      <c r="A11" s="13">
        <v>6</v>
      </c>
      <c r="B11" s="1" t="s">
        <v>17</v>
      </c>
      <c r="C11" s="1" t="s">
        <v>39</v>
      </c>
      <c r="D11" s="14" t="s">
        <v>22</v>
      </c>
      <c r="E11" s="19">
        <v>28856</v>
      </c>
      <c r="F11" s="1" t="s">
        <v>68</v>
      </c>
      <c r="G11" s="14" t="s">
        <v>24</v>
      </c>
      <c r="H11" s="14" t="s">
        <v>40</v>
      </c>
      <c r="I11" s="18">
        <v>300</v>
      </c>
      <c r="J11" s="213" t="str">
        <f t="shared" si="0"/>
        <v>B</v>
      </c>
      <c r="K11" s="213">
        <f t="shared" si="1"/>
        <v>5</v>
      </c>
      <c r="L11" s="150">
        <f t="shared" si="2"/>
        <v>300</v>
      </c>
      <c r="M11" s="150"/>
    </row>
    <row r="12" spans="1:13" x14ac:dyDescent="0.25">
      <c r="A12" s="13">
        <v>7</v>
      </c>
      <c r="B12" s="1" t="s">
        <v>18</v>
      </c>
      <c r="C12" s="1" t="s">
        <v>41</v>
      </c>
      <c r="D12" s="14" t="s">
        <v>22</v>
      </c>
      <c r="E12" s="19">
        <v>27882</v>
      </c>
      <c r="F12" s="1" t="s">
        <v>42</v>
      </c>
      <c r="G12" s="14" t="s">
        <v>32</v>
      </c>
      <c r="H12" s="14" t="s">
        <v>43</v>
      </c>
      <c r="I12" s="18">
        <v>250</v>
      </c>
      <c r="J12" s="213" t="str">
        <f t="shared" si="0"/>
        <v>B</v>
      </c>
      <c r="K12" s="213">
        <f t="shared" si="1"/>
        <v>5</v>
      </c>
      <c r="L12" s="150">
        <f t="shared" si="2"/>
        <v>250</v>
      </c>
      <c r="M12" s="150"/>
    </row>
    <row r="13" spans="1:13" x14ac:dyDescent="0.25">
      <c r="A13" s="13">
        <v>8</v>
      </c>
      <c r="B13" s="1" t="s">
        <v>44</v>
      </c>
      <c r="C13" s="1" t="s">
        <v>45</v>
      </c>
      <c r="D13" s="14" t="s">
        <v>27</v>
      </c>
      <c r="E13" s="19">
        <v>28439</v>
      </c>
      <c r="F13" s="1" t="s">
        <v>23</v>
      </c>
      <c r="G13" s="14" t="s">
        <v>32</v>
      </c>
      <c r="H13" s="14" t="s">
        <v>43</v>
      </c>
      <c r="I13" s="18">
        <v>270</v>
      </c>
      <c r="J13" s="213" t="str">
        <f t="shared" si="0"/>
        <v>B</v>
      </c>
      <c r="K13" s="213">
        <f t="shared" si="1"/>
        <v>10</v>
      </c>
      <c r="L13" s="150">
        <f t="shared" si="2"/>
        <v>270</v>
      </c>
      <c r="M13" s="150"/>
    </row>
    <row r="14" spans="1:13" x14ac:dyDescent="0.25">
      <c r="A14" s="13">
        <v>9</v>
      </c>
      <c r="B14" s="1" t="s">
        <v>19</v>
      </c>
      <c r="C14" s="1" t="s">
        <v>46</v>
      </c>
      <c r="D14" s="14" t="s">
        <v>22</v>
      </c>
      <c r="E14" s="19">
        <v>27188</v>
      </c>
      <c r="F14" s="1" t="s">
        <v>28</v>
      </c>
      <c r="G14" s="14" t="s">
        <v>24</v>
      </c>
      <c r="H14" s="14" t="s">
        <v>43</v>
      </c>
      <c r="I14" s="18">
        <v>240</v>
      </c>
      <c r="J14" s="213" t="str">
        <f t="shared" si="0"/>
        <v>B</v>
      </c>
      <c r="K14" s="213">
        <f t="shared" si="1"/>
        <v>5</v>
      </c>
      <c r="L14" s="150">
        <f t="shared" si="2"/>
        <v>240</v>
      </c>
      <c r="M14" s="150"/>
    </row>
    <row r="15" spans="1:13" x14ac:dyDescent="0.25">
      <c r="A15" s="13">
        <v>10</v>
      </c>
      <c r="B15" s="1" t="s">
        <v>17</v>
      </c>
      <c r="C15" s="1" t="s">
        <v>47</v>
      </c>
      <c r="D15" s="14" t="s">
        <v>22</v>
      </c>
      <c r="E15" s="19">
        <v>27518</v>
      </c>
      <c r="F15" s="1" t="s">
        <v>35</v>
      </c>
      <c r="G15" s="14" t="s">
        <v>24</v>
      </c>
      <c r="H15" s="14" t="s">
        <v>43</v>
      </c>
      <c r="I15" s="18">
        <v>275</v>
      </c>
      <c r="J15" s="213" t="str">
        <f t="shared" si="0"/>
        <v>B</v>
      </c>
      <c r="K15" s="213">
        <f t="shared" si="1"/>
        <v>5</v>
      </c>
      <c r="L15" s="150">
        <f t="shared" si="2"/>
        <v>275</v>
      </c>
      <c r="M15" s="150"/>
    </row>
    <row r="16" spans="1:13" x14ac:dyDescent="0.25">
      <c r="A16" s="13">
        <v>11</v>
      </c>
      <c r="B16" s="1" t="s">
        <v>20</v>
      </c>
      <c r="C16" s="1" t="s">
        <v>48</v>
      </c>
      <c r="D16" s="14" t="s">
        <v>27</v>
      </c>
      <c r="E16" s="19">
        <v>28125</v>
      </c>
      <c r="F16" s="1" t="s">
        <v>31</v>
      </c>
      <c r="G16" s="14" t="s">
        <v>24</v>
      </c>
      <c r="H16" s="14" t="s">
        <v>43</v>
      </c>
      <c r="I16" s="18">
        <v>280</v>
      </c>
      <c r="J16" s="213" t="str">
        <f t="shared" si="0"/>
        <v>B</v>
      </c>
      <c r="K16" s="213">
        <f t="shared" si="1"/>
        <v>10</v>
      </c>
      <c r="L16" s="150">
        <f t="shared" si="2"/>
        <v>280</v>
      </c>
      <c r="M16" s="150"/>
    </row>
    <row r="17" spans="1:13" x14ac:dyDescent="0.25">
      <c r="A17" s="13">
        <v>12</v>
      </c>
      <c r="B17" s="1" t="s">
        <v>49</v>
      </c>
      <c r="C17" s="1" t="s">
        <v>50</v>
      </c>
      <c r="D17" s="14" t="s">
        <v>22</v>
      </c>
      <c r="E17" s="19">
        <v>26638</v>
      </c>
      <c r="F17" s="1" t="s">
        <v>31</v>
      </c>
      <c r="G17" s="14" t="s">
        <v>24</v>
      </c>
      <c r="H17" s="14" t="s">
        <v>43</v>
      </c>
      <c r="I17" s="18">
        <v>260</v>
      </c>
      <c r="J17" s="213" t="str">
        <f t="shared" si="0"/>
        <v>B</v>
      </c>
      <c r="K17" s="213">
        <f t="shared" si="1"/>
        <v>5</v>
      </c>
      <c r="L17" s="150">
        <f t="shared" si="2"/>
        <v>260</v>
      </c>
      <c r="M17" s="150"/>
    </row>
    <row r="18" spans="1:13" x14ac:dyDescent="0.25">
      <c r="A18" s="13">
        <v>13</v>
      </c>
      <c r="B18" s="1" t="s">
        <v>51</v>
      </c>
      <c r="C18" s="1" t="s">
        <v>52</v>
      </c>
      <c r="D18" s="14" t="s">
        <v>22</v>
      </c>
      <c r="E18" s="19">
        <v>26946</v>
      </c>
      <c r="F18" s="1" t="s">
        <v>23</v>
      </c>
      <c r="G18" s="14" t="s">
        <v>32</v>
      </c>
      <c r="H18" s="14" t="s">
        <v>43</v>
      </c>
      <c r="I18" s="18">
        <v>230</v>
      </c>
      <c r="J18" s="213" t="str">
        <f t="shared" si="0"/>
        <v>B</v>
      </c>
      <c r="K18" s="213">
        <f t="shared" si="1"/>
        <v>5</v>
      </c>
      <c r="L18" s="150">
        <f t="shared" si="2"/>
        <v>230</v>
      </c>
      <c r="M18" s="150"/>
    </row>
    <row r="19" spans="1:13" x14ac:dyDescent="0.25">
      <c r="A19" s="13">
        <v>14</v>
      </c>
      <c r="B19" s="1" t="s">
        <v>53</v>
      </c>
      <c r="C19" s="1" t="s">
        <v>54</v>
      </c>
      <c r="D19" s="14" t="s">
        <v>27</v>
      </c>
      <c r="E19" s="19">
        <v>26355</v>
      </c>
      <c r="F19" s="1" t="s">
        <v>23</v>
      </c>
      <c r="G19" s="14" t="s">
        <v>24</v>
      </c>
      <c r="H19" s="14" t="s">
        <v>43</v>
      </c>
      <c r="I19" s="18">
        <v>290</v>
      </c>
      <c r="J19" s="213" t="str">
        <f t="shared" si="0"/>
        <v>B</v>
      </c>
      <c r="K19" s="213">
        <f t="shared" si="1"/>
        <v>10</v>
      </c>
      <c r="L19" s="150">
        <f t="shared" si="2"/>
        <v>290</v>
      </c>
      <c r="M19" s="150"/>
    </row>
    <row r="20" spans="1:13" x14ac:dyDescent="0.25">
      <c r="A20" s="13">
        <v>15</v>
      </c>
      <c r="B20" s="1" t="s">
        <v>55</v>
      </c>
      <c r="C20" s="1" t="s">
        <v>56</v>
      </c>
      <c r="D20" s="14" t="s">
        <v>22</v>
      </c>
      <c r="E20" s="19">
        <v>27687</v>
      </c>
      <c r="F20" s="1" t="s">
        <v>28</v>
      </c>
      <c r="G20" s="14" t="s">
        <v>24</v>
      </c>
      <c r="H20" s="14" t="s">
        <v>43</v>
      </c>
      <c r="I20" s="18">
        <v>270</v>
      </c>
      <c r="J20" s="213" t="str">
        <f t="shared" si="0"/>
        <v>B</v>
      </c>
      <c r="K20" s="213">
        <f t="shared" si="1"/>
        <v>5</v>
      </c>
      <c r="L20" s="150">
        <f t="shared" si="2"/>
        <v>270</v>
      </c>
      <c r="M20" s="150"/>
    </row>
    <row r="21" spans="1:13" x14ac:dyDescent="0.25">
      <c r="A21" s="13">
        <v>16</v>
      </c>
      <c r="B21" s="1" t="s">
        <v>57</v>
      </c>
      <c r="C21" s="1" t="s">
        <v>58</v>
      </c>
      <c r="D21" s="14" t="s">
        <v>22</v>
      </c>
      <c r="E21" s="19">
        <v>28722</v>
      </c>
      <c r="F21" s="1" t="s">
        <v>23</v>
      </c>
      <c r="G21" s="14" t="s">
        <v>24</v>
      </c>
      <c r="H21" s="14" t="s">
        <v>43</v>
      </c>
      <c r="I21" s="18">
        <v>250</v>
      </c>
      <c r="J21" s="213" t="str">
        <f t="shared" si="0"/>
        <v>B</v>
      </c>
      <c r="K21" s="213">
        <f t="shared" si="1"/>
        <v>5</v>
      </c>
      <c r="L21" s="150">
        <f t="shared" si="2"/>
        <v>250</v>
      </c>
      <c r="M21" s="150"/>
    </row>
    <row r="22" spans="1:13" x14ac:dyDescent="0.25">
      <c r="A22" s="13">
        <v>17</v>
      </c>
      <c r="B22" s="1" t="s">
        <v>59</v>
      </c>
      <c r="C22" s="1" t="s">
        <v>60</v>
      </c>
      <c r="D22" s="14" t="s">
        <v>27</v>
      </c>
      <c r="E22" s="19">
        <v>27181</v>
      </c>
      <c r="F22" s="1" t="s">
        <v>23</v>
      </c>
      <c r="G22" s="14" t="s">
        <v>32</v>
      </c>
      <c r="H22" s="14" t="s">
        <v>43</v>
      </c>
      <c r="I22" s="18">
        <v>250</v>
      </c>
      <c r="J22" s="213" t="str">
        <f t="shared" si="0"/>
        <v>B</v>
      </c>
      <c r="K22" s="213">
        <f t="shared" si="1"/>
        <v>10</v>
      </c>
      <c r="L22" s="150">
        <f t="shared" si="2"/>
        <v>250</v>
      </c>
      <c r="M22" s="150"/>
    </row>
    <row r="23" spans="1:13" x14ac:dyDescent="0.25">
      <c r="A23" s="13">
        <v>18</v>
      </c>
      <c r="B23" s="1" t="s">
        <v>61</v>
      </c>
      <c r="C23" s="1" t="s">
        <v>62</v>
      </c>
      <c r="D23" s="14" t="s">
        <v>22</v>
      </c>
      <c r="E23" s="19">
        <v>26831</v>
      </c>
      <c r="F23" s="1" t="s">
        <v>28</v>
      </c>
      <c r="G23" s="14" t="s">
        <v>32</v>
      </c>
      <c r="H23" s="14" t="s">
        <v>43</v>
      </c>
      <c r="I23" s="18">
        <v>280</v>
      </c>
      <c r="J23" s="213" t="str">
        <f t="shared" si="0"/>
        <v>B</v>
      </c>
      <c r="K23" s="213">
        <f t="shared" si="1"/>
        <v>5</v>
      </c>
      <c r="L23" s="150">
        <f t="shared" si="2"/>
        <v>280</v>
      </c>
      <c r="M23" s="150"/>
    </row>
    <row r="24" spans="1:13" x14ac:dyDescent="0.25">
      <c r="A24" s="13">
        <v>19</v>
      </c>
      <c r="B24" s="1" t="s">
        <v>63</v>
      </c>
      <c r="C24" s="1" t="s">
        <v>64</v>
      </c>
      <c r="D24" s="14" t="s">
        <v>27</v>
      </c>
      <c r="E24" s="19">
        <v>28291</v>
      </c>
      <c r="F24" s="1" t="s">
        <v>68</v>
      </c>
      <c r="G24" s="14" t="s">
        <v>24</v>
      </c>
      <c r="H24" s="14" t="s">
        <v>43</v>
      </c>
      <c r="I24" s="18">
        <v>260</v>
      </c>
      <c r="J24" s="213" t="str">
        <f t="shared" si="0"/>
        <v>B</v>
      </c>
      <c r="K24" s="213">
        <f t="shared" si="1"/>
        <v>10</v>
      </c>
      <c r="L24" s="150">
        <f t="shared" si="2"/>
        <v>260</v>
      </c>
      <c r="M24" s="150"/>
    </row>
    <row r="25" spans="1:13" x14ac:dyDescent="0.25">
      <c r="A25" s="13">
        <v>20</v>
      </c>
      <c r="B25" s="1" t="s">
        <v>65</v>
      </c>
      <c r="C25" s="1" t="s">
        <v>66</v>
      </c>
      <c r="D25" s="14" t="s">
        <v>22</v>
      </c>
      <c r="E25" s="19">
        <v>25721</v>
      </c>
      <c r="F25" s="1" t="s">
        <v>67</v>
      </c>
      <c r="G25" s="14" t="s">
        <v>32</v>
      </c>
      <c r="H25" s="14" t="s">
        <v>43</v>
      </c>
      <c r="I25" s="18">
        <v>230</v>
      </c>
      <c r="J25" s="213" t="str">
        <f t="shared" si="0"/>
        <v>B</v>
      </c>
      <c r="K25" s="213">
        <f t="shared" si="1"/>
        <v>5</v>
      </c>
      <c r="L25" s="150">
        <f t="shared" si="2"/>
        <v>230</v>
      </c>
      <c r="M25" s="150"/>
    </row>
    <row r="26" spans="1:13" x14ac:dyDescent="0.25">
      <c r="A26" s="31"/>
      <c r="B26" s="31"/>
      <c r="C26" s="31"/>
      <c r="D26" s="31"/>
      <c r="E26" s="31"/>
      <c r="F26" s="31"/>
      <c r="G26" s="31"/>
      <c r="H26" s="31"/>
      <c r="I26" s="18">
        <f>SUM(I6:I25)</f>
        <v>7165</v>
      </c>
    </row>
    <row r="27" spans="1:13" s="246" customFormat="1" x14ac:dyDescent="0.25"/>
    <row r="28" spans="1:13" ht="24" x14ac:dyDescent="0.75">
      <c r="A28" s="248" t="s">
        <v>154</v>
      </c>
      <c r="B28" s="248"/>
      <c r="C28" s="248"/>
      <c r="D28" s="248"/>
      <c r="E28" s="248"/>
      <c r="F28" s="248"/>
      <c r="G28" s="248"/>
      <c r="H28" s="248"/>
      <c r="I28" s="66" t="s">
        <v>172</v>
      </c>
      <c r="J28" s="61" t="s">
        <v>173</v>
      </c>
    </row>
    <row r="29" spans="1:13" ht="24" x14ac:dyDescent="0.75">
      <c r="A29" s="249" t="s">
        <v>155</v>
      </c>
      <c r="B29" s="250"/>
      <c r="C29" s="250"/>
      <c r="D29" s="250"/>
      <c r="E29" s="250"/>
      <c r="F29" s="250"/>
      <c r="G29" s="250"/>
      <c r="H29" s="250"/>
      <c r="I29" s="62">
        <f>COUNT(A6:A25)</f>
        <v>20</v>
      </c>
      <c r="J29" s="63">
        <f>COUNTA(B6:B25)</f>
        <v>20</v>
      </c>
    </row>
    <row r="30" spans="1:13" ht="24" x14ac:dyDescent="0.75">
      <c r="A30" s="250" t="s">
        <v>156</v>
      </c>
      <c r="B30" s="250"/>
      <c r="C30" s="250"/>
      <c r="D30" s="250"/>
      <c r="E30" s="250"/>
      <c r="F30" s="250"/>
      <c r="G30" s="250"/>
      <c r="H30" s="250"/>
      <c r="I30" s="60">
        <f>COUNTIF(D6:D25,D24)</f>
        <v>7</v>
      </c>
      <c r="J30" s="63">
        <f>COUNTIF(D6:D25,"F")</f>
        <v>7</v>
      </c>
    </row>
    <row r="31" spans="1:13" ht="24" x14ac:dyDescent="0.75">
      <c r="A31" s="250" t="s">
        <v>157</v>
      </c>
      <c r="B31" s="250"/>
      <c r="C31" s="250"/>
      <c r="D31" s="250"/>
      <c r="E31" s="250"/>
      <c r="F31" s="250"/>
      <c r="G31" s="250"/>
      <c r="H31" s="250"/>
      <c r="I31" s="60">
        <f>COUNTIF(F6:F25,F21)</f>
        <v>6</v>
      </c>
      <c r="J31" s="63">
        <f>COUNTIF(F6:F25,"Phnom Penh")</f>
        <v>6</v>
      </c>
    </row>
    <row r="32" spans="1:13" ht="24" x14ac:dyDescent="0.75">
      <c r="A32" s="250" t="s">
        <v>158</v>
      </c>
      <c r="B32" s="250"/>
      <c r="C32" s="250"/>
      <c r="D32" s="250"/>
      <c r="E32" s="250"/>
      <c r="F32" s="250"/>
      <c r="G32" s="250"/>
      <c r="H32" s="250"/>
      <c r="I32" s="60">
        <f>COUNTIF(G6:G25,G25)</f>
        <v>8</v>
      </c>
      <c r="J32" s="63">
        <f>COUNTIF(G6:G25,"Married")</f>
        <v>8</v>
      </c>
    </row>
    <row r="33" spans="1:10" ht="24" x14ac:dyDescent="0.75">
      <c r="A33" s="250" t="s">
        <v>159</v>
      </c>
      <c r="B33" s="250"/>
      <c r="C33" s="250"/>
      <c r="D33" s="250"/>
      <c r="E33" s="250"/>
      <c r="F33" s="250"/>
      <c r="G33" s="250"/>
      <c r="H33" s="250"/>
      <c r="I33" s="60">
        <f>COUNTIF(H6:H25,H25)</f>
        <v>14</v>
      </c>
      <c r="J33" s="63">
        <f>COUNTIFS(H6:H25,"Teacher")</f>
        <v>14</v>
      </c>
    </row>
    <row r="34" spans="1:10" ht="24" x14ac:dyDescent="0.75">
      <c r="A34" s="250" t="s">
        <v>160</v>
      </c>
      <c r="B34" s="250"/>
      <c r="C34" s="250"/>
      <c r="D34" s="250"/>
      <c r="E34" s="250"/>
      <c r="F34" s="250"/>
      <c r="G34" s="250"/>
      <c r="H34" s="250"/>
      <c r="I34" s="64">
        <f>COUNTIF(I6:I25,"&gt;=500")</f>
        <v>3</v>
      </c>
      <c r="J34" s="63">
        <f>COUNTIF(I6:I25,"&gt;=500")</f>
        <v>3</v>
      </c>
    </row>
    <row r="35" spans="1:10" ht="24" x14ac:dyDescent="0.75">
      <c r="A35" s="250" t="s">
        <v>161</v>
      </c>
      <c r="B35" s="250"/>
      <c r="C35" s="250"/>
      <c r="D35" s="250"/>
      <c r="E35" s="250"/>
      <c r="F35" s="250"/>
      <c r="G35" s="250"/>
      <c r="H35" s="250"/>
      <c r="I35" s="60">
        <f>COUNTIF(E6:E25,"&lt;1-1-1980")</f>
        <v>20</v>
      </c>
      <c r="J35" s="63">
        <f>COUNTIF(E6:E25,"&lt;1-1-1980")</f>
        <v>20</v>
      </c>
    </row>
    <row r="36" spans="1:10" ht="24" x14ac:dyDescent="0.75">
      <c r="A36" s="250" t="s">
        <v>162</v>
      </c>
      <c r="B36" s="250"/>
      <c r="C36" s="250"/>
      <c r="D36" s="250"/>
      <c r="E36" s="250"/>
      <c r="F36" s="250"/>
      <c r="G36" s="250"/>
      <c r="H36" s="250"/>
      <c r="I36" s="60">
        <f>COUNTIFS(D6:D25,D24,F6:F25,F22)</f>
        <v>3</v>
      </c>
      <c r="J36" s="63">
        <f>COUNTIFS(D6:D25,"F",F6:F25,"Phnom Penh")</f>
        <v>3</v>
      </c>
    </row>
    <row r="37" spans="1:10" ht="24" x14ac:dyDescent="0.75">
      <c r="A37" s="250" t="s">
        <v>163</v>
      </c>
      <c r="B37" s="250"/>
      <c r="C37" s="250"/>
      <c r="D37" s="250"/>
      <c r="E37" s="250"/>
      <c r="F37" s="250"/>
      <c r="G37" s="250"/>
      <c r="H37" s="250"/>
      <c r="I37" s="60">
        <f>COUNTIFS(H6:H25,H25,F6:F25,F23)</f>
        <v>3</v>
      </c>
      <c r="J37" s="63">
        <f>COUNTIFS(H6:H25,"Teacher",F6:F25,"Siem Reap")</f>
        <v>3</v>
      </c>
    </row>
    <row r="38" spans="1:10" ht="24" x14ac:dyDescent="0.75">
      <c r="A38" s="250" t="s">
        <v>164</v>
      </c>
      <c r="B38" s="250"/>
      <c r="C38" s="250"/>
      <c r="D38" s="250"/>
      <c r="E38" s="250"/>
      <c r="F38" s="250"/>
      <c r="G38" s="250"/>
      <c r="H38" s="250"/>
      <c r="I38" s="60">
        <f>COUNTIFS(H6:H25,"Teacher",G6:G25,"Single",I6:I25,"&lt;500")</f>
        <v>8</v>
      </c>
      <c r="J38" s="63">
        <f>COUNTIFS(H6:H25,"Teacher",G6:G25,"Single",I6:I25,"&lt;500")</f>
        <v>8</v>
      </c>
    </row>
    <row r="39" spans="1:10" ht="24" x14ac:dyDescent="0.75">
      <c r="A39" s="253" t="s">
        <v>165</v>
      </c>
      <c r="B39" s="253"/>
      <c r="C39" s="253"/>
      <c r="D39" s="253"/>
      <c r="E39" s="253"/>
      <c r="F39" s="253"/>
      <c r="G39" s="253"/>
      <c r="H39" s="253"/>
      <c r="I39" s="99">
        <f>COUNTIFS(D6:D25,"M",H6:H25,"Teacher",G6:G25,"Married",E6:E25,"&lt;1-6-1979",E6:E25,"&gt;4-16-1975")</f>
        <v>1</v>
      </c>
      <c r="J39" s="77"/>
    </row>
    <row r="40" spans="1:10" ht="24" x14ac:dyDescent="0.75">
      <c r="A40" s="250" t="s">
        <v>166</v>
      </c>
      <c r="B40" s="250"/>
      <c r="C40" s="250"/>
      <c r="D40" s="250"/>
      <c r="E40" s="250"/>
      <c r="F40" s="250"/>
      <c r="G40" s="250"/>
      <c r="H40" s="250"/>
      <c r="I40" s="65">
        <f>SUMIF(D6:D25,"M",I6:I25)</f>
        <v>4515</v>
      </c>
      <c r="J40" s="77">
        <f>SUMIF(D6:D25,"M",I6:I25)</f>
        <v>4515</v>
      </c>
    </row>
    <row r="41" spans="1:10" ht="24" x14ac:dyDescent="0.75">
      <c r="A41" s="250" t="s">
        <v>167</v>
      </c>
      <c r="B41" s="250"/>
      <c r="C41" s="250"/>
      <c r="D41" s="250"/>
      <c r="E41" s="250"/>
      <c r="F41" s="250"/>
      <c r="G41" s="250"/>
      <c r="H41" s="250"/>
      <c r="I41" s="65">
        <f>SUMIF(F6:F25,"Siem Reap",I6:I25)</f>
        <v>2070</v>
      </c>
      <c r="J41" s="77">
        <f>SUMIF(F6:F25,"Siem Reap",I6:I25)</f>
        <v>2070</v>
      </c>
    </row>
    <row r="42" spans="1:10" ht="24" x14ac:dyDescent="0.75">
      <c r="A42" s="250" t="s">
        <v>168</v>
      </c>
      <c r="B42" s="250"/>
      <c r="C42" s="250"/>
      <c r="D42" s="250"/>
      <c r="E42" s="250"/>
      <c r="F42" s="250"/>
      <c r="G42" s="250"/>
      <c r="H42" s="250"/>
      <c r="I42" s="65">
        <f>SUMIF(E6:E25,"&lt;1-1-1980",I6:I25)</f>
        <v>7165</v>
      </c>
      <c r="J42" s="77">
        <f>SUMIF(E6:E25,"&lt;1-1-1980",I6:I25)</f>
        <v>7165</v>
      </c>
    </row>
    <row r="43" spans="1:10" ht="24" x14ac:dyDescent="0.75">
      <c r="A43" s="250" t="s">
        <v>169</v>
      </c>
      <c r="B43" s="250"/>
      <c r="C43" s="250"/>
      <c r="D43" s="250"/>
      <c r="E43" s="250"/>
      <c r="F43" s="250"/>
      <c r="G43" s="250"/>
      <c r="H43" s="250"/>
      <c r="I43" s="65">
        <f>SUMIFS(I6:I25,D6:D25,"M",H6:H25,"Teacher",F6:F25,"Kampong Cham")</f>
        <v>230</v>
      </c>
      <c r="J43" s="77">
        <f>SUMIFS(I6:I25,D6:D25,"M",H6:H25,"Teacher",F6:F25,"Kampong Cham")</f>
        <v>230</v>
      </c>
    </row>
    <row r="44" spans="1:10" ht="24" x14ac:dyDescent="0.75">
      <c r="A44" s="250" t="s">
        <v>170</v>
      </c>
      <c r="B44" s="250"/>
      <c r="C44" s="250"/>
      <c r="D44" s="250"/>
      <c r="E44" s="250"/>
      <c r="F44" s="250"/>
      <c r="G44" s="250"/>
      <c r="H44" s="250"/>
      <c r="I44" s="65">
        <f>SUMIFS(I6:I25,D6:D25,"F",H6:H25,"Teacher",G6:G25,"Married")</f>
        <v>520</v>
      </c>
      <c r="J44" s="77"/>
    </row>
    <row r="45" spans="1:10" ht="24" x14ac:dyDescent="0.75">
      <c r="A45" s="250" t="s">
        <v>171</v>
      </c>
      <c r="B45" s="250"/>
      <c r="C45" s="250"/>
      <c r="D45" s="250"/>
      <c r="E45" s="250"/>
      <c r="F45" s="250"/>
      <c r="G45" s="250"/>
      <c r="H45" s="250"/>
      <c r="I45" s="65">
        <f>SUMIFS(I6:I25,F6:F25,F6)+SUMIFS(I6:I25,F6:F25,F7)</f>
        <v>4360</v>
      </c>
      <c r="J45" s="77"/>
    </row>
    <row r="51" spans="6:6" x14ac:dyDescent="0.25">
      <c r="F51">
        <f>COUNTIF(E6:E25,"&lt;1-1-1975")</f>
        <v>8</v>
      </c>
    </row>
  </sheetData>
  <mergeCells count="20">
    <mergeCell ref="A42:H42"/>
    <mergeCell ref="A43:H43"/>
    <mergeCell ref="A44:H44"/>
    <mergeCell ref="A45:H45"/>
    <mergeCell ref="A37:H37"/>
    <mergeCell ref="A38:H38"/>
    <mergeCell ref="A39:H39"/>
    <mergeCell ref="A40:H40"/>
    <mergeCell ref="A41:H41"/>
    <mergeCell ref="A32:H32"/>
    <mergeCell ref="A33:H33"/>
    <mergeCell ref="A34:H34"/>
    <mergeCell ref="A35:H35"/>
    <mergeCell ref="A36:H36"/>
    <mergeCell ref="A28:H28"/>
    <mergeCell ref="A29:H29"/>
    <mergeCell ref="A30:H30"/>
    <mergeCell ref="A31:H31"/>
    <mergeCell ref="A1:I4"/>
    <mergeCell ref="A27:XFD27"/>
  </mergeCells>
  <pageMargins left="0.25" right="0.25" top="0.75" bottom="0.75" header="0.3" footer="0.3"/>
  <pageSetup paperSize="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tabSelected="1" workbookViewId="0">
      <selection activeCell="M8" sqref="M8"/>
    </sheetView>
  </sheetViews>
  <sheetFormatPr defaultRowHeight="15" x14ac:dyDescent="0.25"/>
  <cols>
    <col min="4" max="4" width="9.5703125" customWidth="1"/>
  </cols>
  <sheetData>
    <row r="1" spans="2:12" x14ac:dyDescent="0.25">
      <c r="E1" s="242"/>
      <c r="F1" s="243"/>
    </row>
    <row r="3" spans="2:12" x14ac:dyDescent="0.25">
      <c r="C3" s="1" t="s">
        <v>183</v>
      </c>
      <c r="D3" s="1"/>
      <c r="E3" s="241"/>
    </row>
    <row r="4" spans="2:12" x14ac:dyDescent="0.25">
      <c r="C4" s="1">
        <v>80</v>
      </c>
      <c r="D4" s="1" t="str">
        <f>IF(C4&gt;=50,"P","F")</f>
        <v>P</v>
      </c>
      <c r="E4" t="str">
        <f>IF(C4&lt;50,"FAIL","PASS")</f>
        <v>PASS</v>
      </c>
      <c r="F4">
        <f>IF(C4&gt;=50,C4+0,C4+1)</f>
        <v>80</v>
      </c>
    </row>
    <row r="5" spans="2:12" x14ac:dyDescent="0.25">
      <c r="C5" s="1">
        <v>65</v>
      </c>
      <c r="D5" s="1" t="str">
        <f t="shared" ref="D5:D11" si="0">IF(C5&gt;=50,"P","F")</f>
        <v>P</v>
      </c>
      <c r="E5" t="str">
        <f t="shared" ref="E5:E11" si="1">IF(C5&lt;50,"FAIL","PASS")</f>
        <v>PASS</v>
      </c>
      <c r="F5">
        <f t="shared" ref="F5:F11" si="2">IF(C5&gt;=50,C5+0,C5+1)</f>
        <v>65</v>
      </c>
    </row>
    <row r="6" spans="2:12" x14ac:dyDescent="0.25">
      <c r="C6" s="1">
        <v>25</v>
      </c>
      <c r="D6" s="1" t="str">
        <f t="shared" si="0"/>
        <v>F</v>
      </c>
      <c r="E6" t="str">
        <f t="shared" si="1"/>
        <v>FAIL</v>
      </c>
      <c r="F6">
        <f t="shared" si="2"/>
        <v>26</v>
      </c>
    </row>
    <row r="7" spans="2:12" x14ac:dyDescent="0.25">
      <c r="C7" s="1">
        <v>90</v>
      </c>
      <c r="D7" s="1" t="str">
        <f t="shared" si="0"/>
        <v>P</v>
      </c>
      <c r="E7" t="str">
        <f t="shared" si="1"/>
        <v>PASS</v>
      </c>
      <c r="F7">
        <f t="shared" si="2"/>
        <v>90</v>
      </c>
    </row>
    <row r="8" spans="2:12" x14ac:dyDescent="0.25">
      <c r="C8" s="1">
        <v>40</v>
      </c>
      <c r="D8" s="1" t="str">
        <f t="shared" si="0"/>
        <v>F</v>
      </c>
      <c r="E8" t="str">
        <f t="shared" si="1"/>
        <v>FAIL</v>
      </c>
      <c r="F8">
        <f t="shared" si="2"/>
        <v>41</v>
      </c>
      <c r="I8" t="s">
        <v>598</v>
      </c>
      <c r="K8" t="str">
        <f>IF(I8="P","PEPY","NO")</f>
        <v>PEPY</v>
      </c>
      <c r="L8" t="str">
        <f>IF(I8&lt;&gt;"P","0","10")</f>
        <v>10</v>
      </c>
    </row>
    <row r="9" spans="2:12" x14ac:dyDescent="0.25">
      <c r="C9" s="1">
        <v>50</v>
      </c>
      <c r="D9" s="1" t="str">
        <f t="shared" si="0"/>
        <v>P</v>
      </c>
      <c r="E9" t="str">
        <f t="shared" si="1"/>
        <v>PASS</v>
      </c>
      <c r="F9">
        <f t="shared" si="2"/>
        <v>50</v>
      </c>
      <c r="I9" t="s">
        <v>593</v>
      </c>
      <c r="K9" t="str">
        <f t="shared" ref="K9:K17" si="3">IF(I9="P","PEPY","NO")</f>
        <v>NO</v>
      </c>
      <c r="L9" t="str">
        <f t="shared" ref="L9:L17" si="4">IF(I9="P","10","0")</f>
        <v>0</v>
      </c>
    </row>
    <row r="10" spans="2:12" x14ac:dyDescent="0.25">
      <c r="C10" s="1">
        <v>38</v>
      </c>
      <c r="D10" s="1" t="str">
        <f t="shared" si="0"/>
        <v>F</v>
      </c>
      <c r="E10" t="str">
        <f t="shared" si="1"/>
        <v>FAIL</v>
      </c>
      <c r="F10">
        <f t="shared" si="2"/>
        <v>39</v>
      </c>
      <c r="I10" t="s">
        <v>595</v>
      </c>
      <c r="K10" t="str">
        <f t="shared" si="3"/>
        <v>PEPY</v>
      </c>
      <c r="L10" t="str">
        <f t="shared" si="4"/>
        <v>10</v>
      </c>
    </row>
    <row r="11" spans="2:12" x14ac:dyDescent="0.25">
      <c r="C11" s="1">
        <v>90</v>
      </c>
      <c r="D11" s="1" t="str">
        <f t="shared" si="0"/>
        <v>P</v>
      </c>
      <c r="E11" t="str">
        <f t="shared" si="1"/>
        <v>PASS</v>
      </c>
      <c r="F11">
        <f t="shared" si="2"/>
        <v>90</v>
      </c>
      <c r="I11" t="s">
        <v>594</v>
      </c>
      <c r="K11" t="str">
        <f t="shared" si="3"/>
        <v>NO</v>
      </c>
      <c r="L11" t="str">
        <f t="shared" si="4"/>
        <v>0</v>
      </c>
    </row>
    <row r="12" spans="2:12" x14ac:dyDescent="0.25">
      <c r="B12" s="92"/>
      <c r="C12" s="92"/>
      <c r="D12" s="92"/>
      <c r="E12" s="92"/>
      <c r="I12" t="s">
        <v>595</v>
      </c>
      <c r="K12" t="str">
        <f t="shared" si="3"/>
        <v>PEPY</v>
      </c>
      <c r="L12" t="str">
        <f t="shared" si="4"/>
        <v>10</v>
      </c>
    </row>
    <row r="13" spans="2:12" x14ac:dyDescent="0.25">
      <c r="B13" s="92"/>
      <c r="C13" s="92"/>
      <c r="D13" s="92"/>
      <c r="E13" s="92"/>
      <c r="I13" t="s">
        <v>594</v>
      </c>
      <c r="K13" t="str">
        <f t="shared" si="3"/>
        <v>NO</v>
      </c>
      <c r="L13" t="str">
        <f t="shared" si="4"/>
        <v>0</v>
      </c>
    </row>
    <row r="14" spans="2:12" x14ac:dyDescent="0.25">
      <c r="B14" s="92"/>
      <c r="C14" s="92"/>
      <c r="D14" s="92"/>
      <c r="E14" s="92"/>
      <c r="I14" t="s">
        <v>593</v>
      </c>
      <c r="K14" t="str">
        <f t="shared" si="3"/>
        <v>NO</v>
      </c>
      <c r="L14" t="str">
        <f t="shared" si="4"/>
        <v>0</v>
      </c>
    </row>
    <row r="15" spans="2:12" x14ac:dyDescent="0.25">
      <c r="B15" s="92"/>
      <c r="C15" s="92"/>
      <c r="D15" s="92"/>
      <c r="E15" s="92"/>
      <c r="I15" t="s">
        <v>596</v>
      </c>
      <c r="K15" t="str">
        <f t="shared" si="3"/>
        <v>NO</v>
      </c>
      <c r="L15" t="str">
        <f t="shared" si="4"/>
        <v>0</v>
      </c>
    </row>
    <row r="16" spans="2:12" x14ac:dyDescent="0.25">
      <c r="B16" s="92"/>
      <c r="C16" s="92"/>
      <c r="D16" s="92"/>
      <c r="E16" s="92"/>
      <c r="I16" t="s">
        <v>595</v>
      </c>
      <c r="K16" t="str">
        <f t="shared" si="3"/>
        <v>PEPY</v>
      </c>
      <c r="L16" t="str">
        <f t="shared" si="4"/>
        <v>10</v>
      </c>
    </row>
    <row r="17" spans="2:12" x14ac:dyDescent="0.25">
      <c r="B17" s="92"/>
      <c r="C17" s="92"/>
      <c r="D17" s="92"/>
      <c r="E17" s="92"/>
      <c r="I17" t="s">
        <v>597</v>
      </c>
      <c r="K17" t="str">
        <f t="shared" si="3"/>
        <v>NO</v>
      </c>
      <c r="L17" t="str">
        <f t="shared" si="4"/>
        <v>0</v>
      </c>
    </row>
    <row r="18" spans="2:12" x14ac:dyDescent="0.25">
      <c r="B18" s="92"/>
      <c r="C18" s="92"/>
      <c r="D18" s="92"/>
      <c r="E18" s="92"/>
    </row>
    <row r="19" spans="2:12" x14ac:dyDescent="0.25">
      <c r="B19" s="92"/>
      <c r="C19" s="92"/>
      <c r="D19" s="92"/>
      <c r="E19" s="92"/>
    </row>
    <row r="20" spans="2:12" x14ac:dyDescent="0.25">
      <c r="B20" s="92"/>
      <c r="C20" s="92"/>
      <c r="D20" s="92"/>
      <c r="E20" s="92"/>
    </row>
    <row r="21" spans="2:12" x14ac:dyDescent="0.25">
      <c r="B21" s="92"/>
      <c r="C21" s="92"/>
      <c r="D21" s="92"/>
      <c r="E21" s="92"/>
    </row>
  </sheetData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I29"/>
  <sheetViews>
    <sheetView workbookViewId="0">
      <selection activeCell="G6" sqref="G6"/>
    </sheetView>
  </sheetViews>
  <sheetFormatPr defaultRowHeight="15" x14ac:dyDescent="0.25"/>
  <cols>
    <col min="6" max="6" width="15.28515625" customWidth="1"/>
    <col min="7" max="7" width="13.5703125" customWidth="1"/>
    <col min="8" max="8" width="13.140625" customWidth="1"/>
    <col min="9" max="9" width="12.5703125" customWidth="1"/>
  </cols>
  <sheetData>
    <row r="1" spans="5:9" x14ac:dyDescent="0.25">
      <c r="I1" s="243">
        <v>1.4999999999999999E-2</v>
      </c>
    </row>
    <row r="3" spans="5:9" x14ac:dyDescent="0.25">
      <c r="G3" s="244"/>
    </row>
    <row r="6" spans="5:9" x14ac:dyDescent="0.25">
      <c r="E6">
        <v>1</v>
      </c>
      <c r="F6" s="241">
        <v>5000</v>
      </c>
      <c r="G6" s="27">
        <f>$F$6/24</f>
        <v>208.33333333333334</v>
      </c>
      <c r="H6" s="27">
        <f>F6*$I$1</f>
        <v>75</v>
      </c>
      <c r="I6" s="27">
        <f>G6+H6</f>
        <v>283.33333333333337</v>
      </c>
    </row>
    <row r="7" spans="5:9" x14ac:dyDescent="0.25">
      <c r="E7">
        <v>2</v>
      </c>
      <c r="F7" s="27">
        <f>F6-I6</f>
        <v>4716.666666666667</v>
      </c>
      <c r="G7" s="27">
        <f>$F$6/24</f>
        <v>208.33333333333334</v>
      </c>
      <c r="H7" s="27">
        <f>F7*$I$1</f>
        <v>70.75</v>
      </c>
      <c r="I7" s="27">
        <f t="shared" ref="I7:I29" si="0">G7+H7</f>
        <v>279.08333333333337</v>
      </c>
    </row>
    <row r="8" spans="5:9" x14ac:dyDescent="0.25">
      <c r="E8">
        <v>3</v>
      </c>
      <c r="F8" s="27">
        <f>F7-I7</f>
        <v>4437.5833333333339</v>
      </c>
      <c r="G8" s="27">
        <f t="shared" ref="G8:G29" si="1">$F$6/24</f>
        <v>208.33333333333334</v>
      </c>
      <c r="H8" s="27">
        <f>F8*$I$1</f>
        <v>66.563750000000013</v>
      </c>
      <c r="I8" s="27">
        <f t="shared" si="0"/>
        <v>274.89708333333334</v>
      </c>
    </row>
    <row r="9" spans="5:9" x14ac:dyDescent="0.25">
      <c r="E9">
        <v>4</v>
      </c>
      <c r="F9" s="27">
        <f>F8-I8</f>
        <v>4162.6862500000007</v>
      </c>
      <c r="G9" s="27">
        <f t="shared" si="1"/>
        <v>208.33333333333334</v>
      </c>
      <c r="H9" s="27">
        <f t="shared" ref="H9:H29" si="2">F9*$I$1</f>
        <v>62.440293750000009</v>
      </c>
      <c r="I9" s="27">
        <f t="shared" si="0"/>
        <v>270.77362708333334</v>
      </c>
    </row>
    <row r="10" spans="5:9" x14ac:dyDescent="0.25">
      <c r="E10">
        <v>5</v>
      </c>
      <c r="F10" s="27">
        <f>F9-I9</f>
        <v>3891.9126229166673</v>
      </c>
      <c r="G10" s="27">
        <f t="shared" si="1"/>
        <v>208.33333333333334</v>
      </c>
      <c r="H10" s="27">
        <f t="shared" si="2"/>
        <v>58.378689343750004</v>
      </c>
      <c r="I10" s="27">
        <f t="shared" si="0"/>
        <v>266.71202267708333</v>
      </c>
    </row>
    <row r="11" spans="5:9" x14ac:dyDescent="0.25">
      <c r="E11">
        <v>6</v>
      </c>
      <c r="F11" s="27">
        <f t="shared" ref="F11:F29" si="3">F10-I10</f>
        <v>3625.2006002395838</v>
      </c>
      <c r="G11" s="27">
        <f t="shared" si="1"/>
        <v>208.33333333333334</v>
      </c>
      <c r="H11" s="27">
        <f t="shared" si="2"/>
        <v>54.378009003593753</v>
      </c>
      <c r="I11" s="27">
        <f t="shared" si="0"/>
        <v>262.71134233692709</v>
      </c>
    </row>
    <row r="12" spans="5:9" x14ac:dyDescent="0.25">
      <c r="E12">
        <v>7</v>
      </c>
      <c r="F12" s="27">
        <f t="shared" si="3"/>
        <v>3362.4892579026568</v>
      </c>
      <c r="G12" s="27">
        <f t="shared" si="1"/>
        <v>208.33333333333334</v>
      </c>
      <c r="H12" s="27">
        <f t="shared" si="2"/>
        <v>50.437338868539854</v>
      </c>
      <c r="I12" s="27">
        <f t="shared" si="0"/>
        <v>258.7706722018732</v>
      </c>
    </row>
    <row r="13" spans="5:9" x14ac:dyDescent="0.25">
      <c r="E13">
        <v>8</v>
      </c>
      <c r="F13" s="27">
        <f t="shared" si="3"/>
        <v>3103.7185857007835</v>
      </c>
      <c r="G13" s="27">
        <f t="shared" si="1"/>
        <v>208.33333333333334</v>
      </c>
      <c r="H13" s="27">
        <f t="shared" si="2"/>
        <v>46.555778785511748</v>
      </c>
      <c r="I13" s="27">
        <f t="shared" si="0"/>
        <v>254.88911211884511</v>
      </c>
    </row>
    <row r="14" spans="5:9" x14ac:dyDescent="0.25">
      <c r="E14">
        <v>9</v>
      </c>
      <c r="F14" s="27">
        <f t="shared" si="3"/>
        <v>2848.8294735819381</v>
      </c>
      <c r="G14" s="27">
        <f t="shared" si="1"/>
        <v>208.33333333333334</v>
      </c>
      <c r="H14" s="27">
        <f t="shared" si="2"/>
        <v>42.73244210372907</v>
      </c>
      <c r="I14" s="27">
        <f t="shared" si="0"/>
        <v>251.06577543706243</v>
      </c>
    </row>
    <row r="15" spans="5:9" x14ac:dyDescent="0.25">
      <c r="E15">
        <v>10</v>
      </c>
      <c r="F15" s="27">
        <f t="shared" si="3"/>
        <v>2597.7636981448759</v>
      </c>
      <c r="G15" s="27">
        <f t="shared" si="1"/>
        <v>208.33333333333334</v>
      </c>
      <c r="H15" s="27">
        <f t="shared" si="2"/>
        <v>38.966455472173138</v>
      </c>
      <c r="I15" s="27">
        <f t="shared" si="0"/>
        <v>247.29978880550647</v>
      </c>
    </row>
    <row r="16" spans="5:9" x14ac:dyDescent="0.25">
      <c r="E16">
        <v>11</v>
      </c>
      <c r="F16" s="27">
        <f t="shared" si="3"/>
        <v>2350.4639093393694</v>
      </c>
      <c r="G16" s="27">
        <f t="shared" si="1"/>
        <v>208.33333333333334</v>
      </c>
      <c r="H16" s="27">
        <f t="shared" si="2"/>
        <v>35.256958640090538</v>
      </c>
      <c r="I16" s="27">
        <f t="shared" si="0"/>
        <v>243.59029197342389</v>
      </c>
    </row>
    <row r="17" spans="5:9" x14ac:dyDescent="0.25">
      <c r="E17">
        <v>12</v>
      </c>
      <c r="F17" s="27">
        <f t="shared" si="3"/>
        <v>2106.8736173659454</v>
      </c>
      <c r="G17" s="27">
        <f t="shared" si="1"/>
        <v>208.33333333333334</v>
      </c>
      <c r="H17" s="27">
        <f t="shared" si="2"/>
        <v>31.603104260489179</v>
      </c>
      <c r="I17" s="27">
        <f t="shared" si="0"/>
        <v>239.93643759382252</v>
      </c>
    </row>
    <row r="18" spans="5:9" x14ac:dyDescent="0.25">
      <c r="E18">
        <v>13</v>
      </c>
      <c r="F18" s="27">
        <f t="shared" si="3"/>
        <v>1866.9371797721228</v>
      </c>
      <c r="G18" s="27">
        <f t="shared" si="1"/>
        <v>208.33333333333334</v>
      </c>
      <c r="H18" s="27">
        <f t="shared" si="2"/>
        <v>28.004057696581842</v>
      </c>
      <c r="I18" s="27">
        <f t="shared" si="0"/>
        <v>236.33739102991518</v>
      </c>
    </row>
    <row r="19" spans="5:9" x14ac:dyDescent="0.25">
      <c r="E19">
        <v>14</v>
      </c>
      <c r="F19" s="27">
        <f t="shared" si="3"/>
        <v>1630.5997887422077</v>
      </c>
      <c r="G19" s="27">
        <f t="shared" si="1"/>
        <v>208.33333333333334</v>
      </c>
      <c r="H19" s="27">
        <f t="shared" si="2"/>
        <v>24.458996831133113</v>
      </c>
      <c r="I19" s="27">
        <f t="shared" si="0"/>
        <v>232.79233016446645</v>
      </c>
    </row>
    <row r="20" spans="5:9" x14ac:dyDescent="0.25">
      <c r="E20">
        <v>15</v>
      </c>
      <c r="F20" s="27">
        <f t="shared" si="3"/>
        <v>1397.8074585777413</v>
      </c>
      <c r="G20" s="27">
        <f t="shared" si="1"/>
        <v>208.33333333333334</v>
      </c>
      <c r="H20" s="27">
        <f t="shared" si="2"/>
        <v>20.967111878666117</v>
      </c>
      <c r="I20" s="27">
        <f t="shared" si="0"/>
        <v>229.30044521199946</v>
      </c>
    </row>
    <row r="21" spans="5:9" x14ac:dyDescent="0.25">
      <c r="E21">
        <v>16</v>
      </c>
      <c r="F21" s="27">
        <f t="shared" si="3"/>
        <v>1168.5070133657418</v>
      </c>
      <c r="G21" s="27">
        <f t="shared" si="1"/>
        <v>208.33333333333334</v>
      </c>
      <c r="H21" s="27">
        <f t="shared" si="2"/>
        <v>17.527605200486128</v>
      </c>
      <c r="I21" s="27">
        <f t="shared" si="0"/>
        <v>225.86093853381948</v>
      </c>
    </row>
    <row r="22" spans="5:9" x14ac:dyDescent="0.25">
      <c r="E22">
        <v>17</v>
      </c>
      <c r="F22" s="27">
        <f t="shared" si="3"/>
        <v>942.64607483192231</v>
      </c>
      <c r="G22" s="27">
        <f t="shared" si="1"/>
        <v>208.33333333333334</v>
      </c>
      <c r="H22" s="27">
        <f t="shared" si="2"/>
        <v>14.139691122478833</v>
      </c>
      <c r="I22" s="27">
        <f t="shared" si="0"/>
        <v>222.47302445581218</v>
      </c>
    </row>
    <row r="23" spans="5:9" x14ac:dyDescent="0.25">
      <c r="E23">
        <v>18</v>
      </c>
      <c r="F23" s="27">
        <f t="shared" si="3"/>
        <v>720.17305037611015</v>
      </c>
      <c r="G23" s="27">
        <f t="shared" si="1"/>
        <v>208.33333333333334</v>
      </c>
      <c r="H23" s="27">
        <f t="shared" si="2"/>
        <v>10.802595755641653</v>
      </c>
      <c r="I23" s="27">
        <f t="shared" si="0"/>
        <v>219.13592908897499</v>
      </c>
    </row>
    <row r="24" spans="5:9" x14ac:dyDescent="0.25">
      <c r="E24">
        <v>19</v>
      </c>
      <c r="F24" s="27">
        <f t="shared" si="3"/>
        <v>501.03712128713516</v>
      </c>
      <c r="G24" s="27">
        <f t="shared" si="1"/>
        <v>208.33333333333334</v>
      </c>
      <c r="H24" s="27">
        <f t="shared" si="2"/>
        <v>7.5155568193070268</v>
      </c>
      <c r="I24" s="27">
        <f t="shared" si="0"/>
        <v>215.84889015264037</v>
      </c>
    </row>
    <row r="25" spans="5:9" x14ac:dyDescent="0.25">
      <c r="E25">
        <v>20</v>
      </c>
      <c r="F25" s="27">
        <f t="shared" si="3"/>
        <v>285.1882311344948</v>
      </c>
      <c r="G25" s="27">
        <f t="shared" si="1"/>
        <v>208.33333333333334</v>
      </c>
      <c r="H25" s="27">
        <f t="shared" si="2"/>
        <v>4.2778234670174218</v>
      </c>
      <c r="I25" s="27">
        <f t="shared" si="0"/>
        <v>212.61115680035076</v>
      </c>
    </row>
    <row r="26" spans="5:9" x14ac:dyDescent="0.25">
      <c r="E26">
        <v>21</v>
      </c>
      <c r="F26" s="27">
        <f t="shared" si="3"/>
        <v>72.577074334144044</v>
      </c>
      <c r="G26" s="27">
        <f t="shared" si="1"/>
        <v>208.33333333333334</v>
      </c>
      <c r="H26" s="27">
        <f t="shared" si="2"/>
        <v>1.0886561150121605</v>
      </c>
      <c r="I26" s="27">
        <f t="shared" si="0"/>
        <v>209.4219894483455</v>
      </c>
    </row>
    <row r="27" spans="5:9" x14ac:dyDescent="0.25">
      <c r="E27">
        <v>22</v>
      </c>
      <c r="F27" s="27">
        <f t="shared" si="3"/>
        <v>-136.84491511420146</v>
      </c>
      <c r="G27" s="27">
        <f t="shared" si="1"/>
        <v>208.33333333333334</v>
      </c>
      <c r="H27" s="27">
        <f t="shared" si="2"/>
        <v>-2.0526737267130217</v>
      </c>
      <c r="I27" s="27">
        <f t="shared" si="0"/>
        <v>206.28065960662033</v>
      </c>
    </row>
    <row r="28" spans="5:9" x14ac:dyDescent="0.25">
      <c r="E28">
        <v>23</v>
      </c>
      <c r="F28" s="27">
        <f t="shared" si="3"/>
        <v>-343.12557472082176</v>
      </c>
      <c r="G28" s="27">
        <f t="shared" si="1"/>
        <v>208.33333333333334</v>
      </c>
      <c r="H28" s="27">
        <f t="shared" si="2"/>
        <v>-5.1468836208123259</v>
      </c>
      <c r="I28" s="27">
        <f t="shared" si="0"/>
        <v>203.18644971252101</v>
      </c>
    </row>
    <row r="29" spans="5:9" x14ac:dyDescent="0.25">
      <c r="E29">
        <v>24</v>
      </c>
      <c r="F29" s="27">
        <f t="shared" si="3"/>
        <v>-546.3120244333428</v>
      </c>
      <c r="G29" s="27">
        <f t="shared" si="1"/>
        <v>208.33333333333334</v>
      </c>
      <c r="H29" s="27">
        <f t="shared" si="2"/>
        <v>-8.1946803665001422</v>
      </c>
      <c r="I29" s="27">
        <f t="shared" si="0"/>
        <v>200.13865296683321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27"/>
  <sheetViews>
    <sheetView workbookViewId="0">
      <selection activeCell="H10" sqref="H10"/>
    </sheetView>
  </sheetViews>
  <sheetFormatPr defaultRowHeight="15" x14ac:dyDescent="0.25"/>
  <cols>
    <col min="1" max="1" width="10.42578125" customWidth="1"/>
    <col min="2" max="2" width="13.140625" customWidth="1"/>
    <col min="3" max="3" width="15.140625" customWidth="1"/>
    <col min="4" max="4" width="16.42578125" customWidth="1"/>
    <col min="6" max="6" width="12.5703125" customWidth="1"/>
    <col min="7" max="7" width="12" customWidth="1"/>
    <col min="8" max="8" width="13.42578125" customWidth="1"/>
    <col min="9" max="9" width="10.85546875" customWidth="1"/>
    <col min="10" max="10" width="14" customWidth="1"/>
  </cols>
  <sheetData>
    <row r="1" spans="1:10" ht="15" customHeight="1" x14ac:dyDescent="0.25">
      <c r="A1" s="255" t="s">
        <v>69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ht="15" customHeight="1" x14ac:dyDescent="0.25">
      <c r="A2" s="255"/>
      <c r="B2" s="255"/>
      <c r="C2" s="255"/>
      <c r="D2" s="255"/>
      <c r="E2" s="255"/>
      <c r="F2" s="255"/>
      <c r="G2" s="255"/>
      <c r="H2" s="255"/>
      <c r="I2" s="255"/>
      <c r="J2" s="255"/>
    </row>
    <row r="3" spans="1:10" ht="15" customHeight="1" x14ac:dyDescent="0.25">
      <c r="A3" s="255"/>
      <c r="B3" s="255"/>
      <c r="C3" s="255"/>
      <c r="D3" s="255"/>
      <c r="E3" s="255"/>
      <c r="F3" s="255"/>
      <c r="G3" s="255"/>
      <c r="H3" s="255"/>
      <c r="I3" s="255"/>
      <c r="J3" s="255"/>
    </row>
    <row r="4" spans="1:10" ht="35.25" customHeight="1" x14ac:dyDescent="0.25">
      <c r="A4" s="255"/>
      <c r="B4" s="255"/>
      <c r="C4" s="255"/>
      <c r="D4" s="255"/>
      <c r="E4" s="255"/>
      <c r="F4" s="255"/>
      <c r="G4" s="255"/>
      <c r="H4" s="255"/>
      <c r="I4" s="255"/>
      <c r="J4" s="255"/>
    </row>
    <row r="5" spans="1:10" ht="15" customHeight="1" x14ac:dyDescent="0.25">
      <c r="A5" s="255"/>
      <c r="B5" s="255"/>
      <c r="C5" s="255"/>
      <c r="D5" s="255"/>
      <c r="E5" s="255"/>
      <c r="F5" s="255"/>
      <c r="G5" s="255"/>
      <c r="H5" s="255"/>
      <c r="I5" s="255"/>
      <c r="J5" s="255"/>
    </row>
    <row r="6" spans="1:10" ht="15" customHeight="1" x14ac:dyDescent="0.25">
      <c r="A6" s="255"/>
      <c r="B6" s="255"/>
      <c r="C6" s="255"/>
      <c r="D6" s="255"/>
      <c r="E6" s="255"/>
      <c r="F6" s="255"/>
      <c r="G6" s="255"/>
      <c r="H6" s="255"/>
      <c r="I6" s="255"/>
      <c r="J6" s="255"/>
    </row>
    <row r="7" spans="1:10" ht="15" customHeight="1" x14ac:dyDescent="0.25">
      <c r="A7" s="255"/>
      <c r="B7" s="255"/>
      <c r="C7" s="255"/>
      <c r="D7" s="255"/>
      <c r="E7" s="255"/>
      <c r="F7" s="255"/>
      <c r="G7" s="255"/>
      <c r="H7" s="255"/>
      <c r="I7" s="255"/>
      <c r="J7" s="255"/>
    </row>
    <row r="8" spans="1:10" ht="14.25" customHeight="1" x14ac:dyDescent="0.25">
      <c r="A8" s="255"/>
      <c r="B8" s="255"/>
      <c r="C8" s="255"/>
      <c r="D8" s="255"/>
      <c r="E8" s="255"/>
      <c r="F8" s="255"/>
      <c r="G8" s="255"/>
      <c r="H8" s="255"/>
      <c r="I8" s="255"/>
      <c r="J8" s="255"/>
    </row>
    <row r="9" spans="1:10" s="28" customFormat="1" ht="20.25" customHeight="1" x14ac:dyDescent="0.25">
      <c r="A9" s="254" t="s">
        <v>273</v>
      </c>
      <c r="B9" s="254"/>
      <c r="C9" s="254"/>
      <c r="D9" s="254"/>
      <c r="E9" s="254"/>
      <c r="F9" s="254"/>
      <c r="G9" s="254"/>
      <c r="H9" s="254"/>
      <c r="I9" s="254"/>
      <c r="J9" s="254"/>
    </row>
    <row r="10" spans="1:10" ht="15" customHeight="1" x14ac:dyDescent="0.25">
      <c r="A10" s="144"/>
      <c r="B10" s="144"/>
      <c r="C10" s="144"/>
      <c r="D10" s="144"/>
      <c r="E10" s="144"/>
      <c r="F10" s="144"/>
      <c r="G10" s="144"/>
      <c r="H10" s="144"/>
      <c r="I10" s="144"/>
      <c r="J10" s="144"/>
    </row>
    <row r="11" spans="1:10" x14ac:dyDescent="0.25">
      <c r="A11" s="20" t="s">
        <v>70</v>
      </c>
      <c r="B11" s="20" t="s">
        <v>71</v>
      </c>
      <c r="C11" s="20" t="s">
        <v>72</v>
      </c>
      <c r="D11" s="20" t="s">
        <v>73</v>
      </c>
      <c r="E11" s="20" t="s">
        <v>74</v>
      </c>
      <c r="F11" s="20" t="s">
        <v>75</v>
      </c>
      <c r="G11" s="20" t="s">
        <v>76</v>
      </c>
      <c r="H11" s="20" t="s">
        <v>77</v>
      </c>
      <c r="I11" s="20" t="s">
        <v>78</v>
      </c>
      <c r="J11" s="20" t="s">
        <v>79</v>
      </c>
    </row>
    <row r="12" spans="1:10" x14ac:dyDescent="0.25">
      <c r="A12" s="30">
        <v>1</v>
      </c>
      <c r="B12" s="19">
        <v>40668</v>
      </c>
      <c r="C12" s="19">
        <v>40699</v>
      </c>
      <c r="D12" s="29" t="s">
        <v>80</v>
      </c>
      <c r="E12" s="1" t="s">
        <v>81</v>
      </c>
      <c r="F12" s="33">
        <v>802</v>
      </c>
      <c r="G12" s="21" t="s">
        <v>82</v>
      </c>
      <c r="H12" s="22">
        <v>10</v>
      </c>
      <c r="I12" s="1">
        <f>C12-B12</f>
        <v>31</v>
      </c>
      <c r="J12" s="23">
        <f>H12*I12</f>
        <v>310</v>
      </c>
    </row>
    <row r="13" spans="1:10" x14ac:dyDescent="0.25">
      <c r="A13" s="13">
        <v>2</v>
      </c>
      <c r="B13" s="19">
        <v>40578</v>
      </c>
      <c r="C13" s="19">
        <v>40700</v>
      </c>
      <c r="D13" s="1" t="s">
        <v>83</v>
      </c>
      <c r="E13" s="1" t="s">
        <v>84</v>
      </c>
      <c r="F13" s="33">
        <v>803</v>
      </c>
      <c r="G13" s="21" t="s">
        <v>85</v>
      </c>
      <c r="H13" s="22">
        <v>25</v>
      </c>
      <c r="I13" s="1">
        <f>C13-B13</f>
        <v>122</v>
      </c>
      <c r="J13" s="23">
        <f t="shared" ref="J13:J26" si="0">H13*I13</f>
        <v>3050</v>
      </c>
    </row>
    <row r="14" spans="1:10" x14ac:dyDescent="0.25">
      <c r="A14" s="13">
        <v>3</v>
      </c>
      <c r="B14" s="19">
        <v>40607</v>
      </c>
      <c r="C14" s="19">
        <v>40701</v>
      </c>
      <c r="D14" s="1" t="s">
        <v>86</v>
      </c>
      <c r="E14" s="1" t="s">
        <v>81</v>
      </c>
      <c r="F14" s="33">
        <v>804</v>
      </c>
      <c r="G14" s="21" t="s">
        <v>85</v>
      </c>
      <c r="H14" s="24">
        <v>30</v>
      </c>
      <c r="I14" s="1">
        <f t="shared" ref="I14:I26" si="1">C14-B14</f>
        <v>94</v>
      </c>
      <c r="J14" s="23">
        <f t="shared" si="0"/>
        <v>2820</v>
      </c>
    </row>
    <row r="15" spans="1:10" x14ac:dyDescent="0.25">
      <c r="A15" s="13">
        <v>4</v>
      </c>
      <c r="B15" s="19">
        <v>40669</v>
      </c>
      <c r="C15" s="32">
        <v>40702</v>
      </c>
      <c r="D15" s="1" t="s">
        <v>87</v>
      </c>
      <c r="E15" s="1" t="s">
        <v>81</v>
      </c>
      <c r="F15" s="33">
        <v>805</v>
      </c>
      <c r="G15" s="21" t="s">
        <v>85</v>
      </c>
      <c r="H15" s="24">
        <v>35</v>
      </c>
      <c r="I15" s="1">
        <f t="shared" si="1"/>
        <v>33</v>
      </c>
      <c r="J15" s="23">
        <f t="shared" si="0"/>
        <v>1155</v>
      </c>
    </row>
    <row r="16" spans="1:10" x14ac:dyDescent="0.25">
      <c r="A16" s="13">
        <v>5</v>
      </c>
      <c r="B16" s="19">
        <v>40575</v>
      </c>
      <c r="C16" s="32">
        <v>40703</v>
      </c>
      <c r="D16" s="1" t="s">
        <v>88</v>
      </c>
      <c r="E16" s="1" t="s">
        <v>81</v>
      </c>
      <c r="F16" s="33">
        <v>806</v>
      </c>
      <c r="G16" s="21" t="s">
        <v>85</v>
      </c>
      <c r="H16" s="24">
        <v>20</v>
      </c>
      <c r="I16" s="1">
        <f t="shared" si="1"/>
        <v>128</v>
      </c>
      <c r="J16" s="23">
        <f t="shared" si="0"/>
        <v>2560</v>
      </c>
    </row>
    <row r="17" spans="1:10" x14ac:dyDescent="0.25">
      <c r="A17" s="13">
        <v>6</v>
      </c>
      <c r="B17" s="19">
        <v>40589</v>
      </c>
      <c r="C17" s="19">
        <v>40704</v>
      </c>
      <c r="D17" s="1" t="s">
        <v>89</v>
      </c>
      <c r="E17" s="1" t="s">
        <v>84</v>
      </c>
      <c r="F17" s="33">
        <v>807</v>
      </c>
      <c r="G17" s="21" t="s">
        <v>85</v>
      </c>
      <c r="H17" s="24">
        <v>25</v>
      </c>
      <c r="I17" s="1">
        <f t="shared" si="1"/>
        <v>115</v>
      </c>
      <c r="J17" s="23">
        <f t="shared" si="0"/>
        <v>2875</v>
      </c>
    </row>
    <row r="18" spans="1:10" x14ac:dyDescent="0.25">
      <c r="A18" s="13">
        <v>7</v>
      </c>
      <c r="B18" s="19">
        <v>40588</v>
      </c>
      <c r="C18" s="19">
        <v>40705</v>
      </c>
      <c r="D18" s="1" t="s">
        <v>90</v>
      </c>
      <c r="E18" s="1" t="s">
        <v>81</v>
      </c>
      <c r="F18" s="33">
        <v>808</v>
      </c>
      <c r="G18" s="21" t="s">
        <v>91</v>
      </c>
      <c r="H18" s="24">
        <v>40</v>
      </c>
      <c r="I18" s="1">
        <f t="shared" si="1"/>
        <v>117</v>
      </c>
      <c r="J18" s="23">
        <f t="shared" si="0"/>
        <v>4680</v>
      </c>
    </row>
    <row r="19" spans="1:10" x14ac:dyDescent="0.25">
      <c r="A19" s="13">
        <v>8</v>
      </c>
      <c r="B19" s="19">
        <v>40556</v>
      </c>
      <c r="C19" s="19">
        <v>40706</v>
      </c>
      <c r="D19" s="1" t="s">
        <v>92</v>
      </c>
      <c r="E19" s="1" t="s">
        <v>81</v>
      </c>
      <c r="F19" s="33">
        <v>809</v>
      </c>
      <c r="G19" s="21" t="s">
        <v>91</v>
      </c>
      <c r="H19" s="24">
        <v>15</v>
      </c>
      <c r="I19" s="1">
        <f t="shared" si="1"/>
        <v>150</v>
      </c>
      <c r="J19" s="23">
        <f t="shared" si="0"/>
        <v>2250</v>
      </c>
    </row>
    <row r="20" spans="1:10" x14ac:dyDescent="0.25">
      <c r="A20" s="13">
        <v>9</v>
      </c>
      <c r="B20" s="19">
        <v>40557</v>
      </c>
      <c r="C20" s="19">
        <v>40707</v>
      </c>
      <c r="D20" s="1" t="s">
        <v>93</v>
      </c>
      <c r="E20" s="1" t="s">
        <v>84</v>
      </c>
      <c r="F20" s="33">
        <v>810</v>
      </c>
      <c r="G20" s="21" t="s">
        <v>91</v>
      </c>
      <c r="H20" s="24">
        <v>30</v>
      </c>
      <c r="I20" s="1">
        <f t="shared" si="1"/>
        <v>150</v>
      </c>
      <c r="J20" s="23">
        <f t="shared" si="0"/>
        <v>4500</v>
      </c>
    </row>
    <row r="21" spans="1:10" x14ac:dyDescent="0.25">
      <c r="A21" s="13">
        <v>10</v>
      </c>
      <c r="B21" s="19">
        <v>40558</v>
      </c>
      <c r="C21" s="19">
        <v>40708</v>
      </c>
      <c r="D21" s="1" t="s">
        <v>94</v>
      </c>
      <c r="E21" s="1" t="s">
        <v>84</v>
      </c>
      <c r="F21" s="33">
        <v>811</v>
      </c>
      <c r="G21" s="21" t="s">
        <v>82</v>
      </c>
      <c r="H21" s="24">
        <v>35</v>
      </c>
      <c r="I21" s="1">
        <f t="shared" si="1"/>
        <v>150</v>
      </c>
      <c r="J21" s="23">
        <f t="shared" si="0"/>
        <v>5250</v>
      </c>
    </row>
    <row r="22" spans="1:10" x14ac:dyDescent="0.25">
      <c r="A22" s="13">
        <v>11</v>
      </c>
      <c r="B22" s="19">
        <v>40559</v>
      </c>
      <c r="C22" s="19">
        <v>40709</v>
      </c>
      <c r="D22" s="1" t="s">
        <v>95</v>
      </c>
      <c r="E22" s="1" t="s">
        <v>81</v>
      </c>
      <c r="F22" s="33">
        <v>812</v>
      </c>
      <c r="G22" s="21" t="s">
        <v>85</v>
      </c>
      <c r="H22" s="24">
        <v>25</v>
      </c>
      <c r="I22" s="1">
        <f t="shared" si="1"/>
        <v>150</v>
      </c>
      <c r="J22" s="23">
        <f t="shared" si="0"/>
        <v>3750</v>
      </c>
    </row>
    <row r="23" spans="1:10" x14ac:dyDescent="0.25">
      <c r="A23" s="13">
        <v>12</v>
      </c>
      <c r="B23" s="19">
        <v>40560</v>
      </c>
      <c r="C23" s="19">
        <v>40710</v>
      </c>
      <c r="D23" s="1" t="s">
        <v>96</v>
      </c>
      <c r="E23" s="1" t="s">
        <v>81</v>
      </c>
      <c r="F23" s="33">
        <v>813</v>
      </c>
      <c r="G23" s="21" t="s">
        <v>85</v>
      </c>
      <c r="H23" s="24">
        <v>30</v>
      </c>
      <c r="I23" s="1">
        <f t="shared" si="1"/>
        <v>150</v>
      </c>
      <c r="J23" s="23">
        <f t="shared" si="0"/>
        <v>4500</v>
      </c>
    </row>
    <row r="24" spans="1:10" x14ac:dyDescent="0.25">
      <c r="A24" s="13">
        <v>13</v>
      </c>
      <c r="B24" s="19">
        <v>40561</v>
      </c>
      <c r="C24" s="19">
        <v>40711</v>
      </c>
      <c r="D24" s="1" t="s">
        <v>97</v>
      </c>
      <c r="E24" s="1" t="s">
        <v>81</v>
      </c>
      <c r="F24" s="33">
        <v>814</v>
      </c>
      <c r="G24" s="21" t="s">
        <v>82</v>
      </c>
      <c r="H24" s="24">
        <v>25</v>
      </c>
      <c r="I24" s="1">
        <f t="shared" si="1"/>
        <v>150</v>
      </c>
      <c r="J24" s="23">
        <f t="shared" si="0"/>
        <v>3750</v>
      </c>
    </row>
    <row r="25" spans="1:10" x14ac:dyDescent="0.25">
      <c r="A25" s="13">
        <v>14</v>
      </c>
      <c r="B25" s="19">
        <v>40562</v>
      </c>
      <c r="C25" s="19">
        <v>40712</v>
      </c>
      <c r="D25" s="1" t="s">
        <v>98</v>
      </c>
      <c r="E25" s="1" t="s">
        <v>81</v>
      </c>
      <c r="F25" s="33">
        <v>815</v>
      </c>
      <c r="G25" s="21" t="s">
        <v>82</v>
      </c>
      <c r="H25" s="24">
        <v>45</v>
      </c>
      <c r="I25" s="1">
        <f t="shared" si="1"/>
        <v>150</v>
      </c>
      <c r="J25" s="23">
        <f t="shared" si="0"/>
        <v>6750</v>
      </c>
    </row>
    <row r="26" spans="1:10" x14ac:dyDescent="0.25">
      <c r="A26" s="13">
        <v>15</v>
      </c>
      <c r="B26" s="19">
        <v>40563</v>
      </c>
      <c r="C26" s="19">
        <v>40713</v>
      </c>
      <c r="D26" s="1" t="s">
        <v>99</v>
      </c>
      <c r="E26" s="1" t="s">
        <v>84</v>
      </c>
      <c r="F26" s="33">
        <v>816</v>
      </c>
      <c r="G26" s="21" t="s">
        <v>85</v>
      </c>
      <c r="H26" s="24">
        <v>35</v>
      </c>
      <c r="I26" s="1">
        <f t="shared" si="1"/>
        <v>150</v>
      </c>
      <c r="J26" s="23">
        <f t="shared" si="0"/>
        <v>5250</v>
      </c>
    </row>
    <row r="27" spans="1:10" x14ac:dyDescent="0.25">
      <c r="B27" s="25"/>
      <c r="C27" s="26"/>
      <c r="H27" s="27">
        <f>SUM(H12:H26)</f>
        <v>425</v>
      </c>
      <c r="J27" s="27"/>
    </row>
  </sheetData>
  <mergeCells count="2">
    <mergeCell ref="A9:J9"/>
    <mergeCell ref="A1:J8"/>
  </mergeCells>
  <pageMargins left="0.25" right="0.25" top="0.75" bottom="0.75" header="0.3" footer="0.3"/>
  <pageSetup paperSize="9" scale="77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G33"/>
  <sheetViews>
    <sheetView topLeftCell="A7" zoomScaleNormal="100" workbookViewId="0">
      <selection activeCell="A32" sqref="A32:G33"/>
    </sheetView>
  </sheetViews>
  <sheetFormatPr defaultRowHeight="15" x14ac:dyDescent="0.25"/>
  <cols>
    <col min="1" max="1" width="5.5703125" customWidth="1"/>
    <col min="2" max="2" width="29.140625" customWidth="1"/>
    <col min="3" max="3" width="10.5703125" bestFit="1" customWidth="1"/>
    <col min="7" max="7" width="18.5703125" customWidth="1"/>
  </cols>
  <sheetData>
    <row r="1" spans="1:7" s="28" customFormat="1" ht="46.5" x14ac:dyDescent="0.25">
      <c r="A1" s="256" t="s">
        <v>100</v>
      </c>
      <c r="B1" s="256"/>
      <c r="C1" s="256"/>
      <c r="D1" s="256"/>
      <c r="E1" s="256"/>
      <c r="F1" s="256"/>
      <c r="G1" s="256"/>
    </row>
    <row r="2" spans="1:7" s="35" customFormat="1" ht="26.25" x14ac:dyDescent="0.8">
      <c r="A2" s="34"/>
      <c r="B2" s="34"/>
      <c r="C2" s="34"/>
      <c r="D2" s="34"/>
      <c r="E2" s="34"/>
      <c r="F2" s="34"/>
      <c r="G2" s="34"/>
    </row>
    <row r="3" spans="1:7" s="35" customFormat="1" ht="26.25" x14ac:dyDescent="0.8">
      <c r="A3" s="34"/>
      <c r="B3" s="34"/>
      <c r="C3" s="34"/>
      <c r="D3" s="34"/>
      <c r="E3" s="34"/>
      <c r="F3" s="34"/>
      <c r="G3" s="34"/>
    </row>
    <row r="4" spans="1:7" s="36" customFormat="1" ht="27.75" thickBot="1" x14ac:dyDescent="0.9">
      <c r="A4" s="257" t="s">
        <v>101</v>
      </c>
      <c r="B4" s="257"/>
      <c r="C4" s="257"/>
      <c r="D4" s="257"/>
      <c r="E4" s="257"/>
      <c r="F4" s="257"/>
      <c r="G4" s="257"/>
    </row>
    <row r="5" spans="1:7" ht="15" customHeight="1" thickTop="1" x14ac:dyDescent="0.25">
      <c r="A5" s="258" t="s">
        <v>129</v>
      </c>
      <c r="B5" s="260" t="s">
        <v>102</v>
      </c>
      <c r="C5" s="262" t="s">
        <v>103</v>
      </c>
      <c r="D5" s="262" t="s">
        <v>104</v>
      </c>
      <c r="E5" s="262" t="s">
        <v>105</v>
      </c>
      <c r="F5" s="262" t="s">
        <v>106</v>
      </c>
      <c r="G5" s="260" t="s">
        <v>107</v>
      </c>
    </row>
    <row r="6" spans="1:7" x14ac:dyDescent="0.25">
      <c r="A6" s="259"/>
      <c r="B6" s="261"/>
      <c r="C6" s="263"/>
      <c r="D6" s="264"/>
      <c r="E6" s="264"/>
      <c r="F6" s="264"/>
      <c r="G6" s="265"/>
    </row>
    <row r="7" spans="1:7" x14ac:dyDescent="0.25">
      <c r="A7" s="37">
        <v>1</v>
      </c>
      <c r="B7" s="1" t="s">
        <v>108</v>
      </c>
      <c r="C7" s="38">
        <v>1000</v>
      </c>
      <c r="D7" s="39">
        <v>1300</v>
      </c>
      <c r="E7" s="39">
        <v>1350</v>
      </c>
      <c r="F7" s="39">
        <v>600</v>
      </c>
      <c r="G7" s="40">
        <f>SUM(C7:F7)</f>
        <v>4250</v>
      </c>
    </row>
    <row r="8" spans="1:7" x14ac:dyDescent="0.25">
      <c r="A8" s="37">
        <v>2</v>
      </c>
      <c r="B8" s="1" t="s">
        <v>109</v>
      </c>
      <c r="C8" s="38">
        <v>800</v>
      </c>
      <c r="D8" s="39">
        <v>900</v>
      </c>
      <c r="E8" s="39">
        <v>1000</v>
      </c>
      <c r="F8" s="39">
        <v>400</v>
      </c>
      <c r="G8" s="40">
        <f t="shared" ref="G8:G15" si="0">SUM(C8:F8)</f>
        <v>3100</v>
      </c>
    </row>
    <row r="9" spans="1:7" x14ac:dyDescent="0.25">
      <c r="A9" s="37">
        <v>3</v>
      </c>
      <c r="B9" s="1" t="s">
        <v>110</v>
      </c>
      <c r="C9" s="38">
        <v>1500</v>
      </c>
      <c r="D9" s="39">
        <v>2000</v>
      </c>
      <c r="E9" s="39">
        <v>1800</v>
      </c>
      <c r="F9" s="39">
        <v>900</v>
      </c>
      <c r="G9" s="40">
        <f t="shared" si="0"/>
        <v>6200</v>
      </c>
    </row>
    <row r="10" spans="1:7" x14ac:dyDescent="0.25">
      <c r="A10" s="37">
        <v>4</v>
      </c>
      <c r="B10" s="1" t="s">
        <v>111</v>
      </c>
      <c r="C10" s="38">
        <v>700</v>
      </c>
      <c r="D10" s="39">
        <v>850</v>
      </c>
      <c r="E10" s="39">
        <v>1000</v>
      </c>
      <c r="F10" s="39">
        <v>1500</v>
      </c>
      <c r="G10" s="40">
        <f t="shared" si="0"/>
        <v>4050</v>
      </c>
    </row>
    <row r="11" spans="1:7" x14ac:dyDescent="0.25">
      <c r="A11" s="37">
        <v>5</v>
      </c>
      <c r="B11" s="1" t="s">
        <v>112</v>
      </c>
      <c r="C11" s="38">
        <v>600</v>
      </c>
      <c r="D11" s="39">
        <v>500</v>
      </c>
      <c r="E11" s="39">
        <v>800</v>
      </c>
      <c r="F11" s="39">
        <v>2000</v>
      </c>
      <c r="G11" s="40">
        <f t="shared" si="0"/>
        <v>3900</v>
      </c>
    </row>
    <row r="12" spans="1:7" x14ac:dyDescent="0.25">
      <c r="A12" s="37">
        <v>6</v>
      </c>
      <c r="B12" s="1" t="s">
        <v>113</v>
      </c>
      <c r="C12" s="38">
        <v>800</v>
      </c>
      <c r="D12" s="39">
        <v>650</v>
      </c>
      <c r="E12" s="39">
        <v>900</v>
      </c>
      <c r="F12" s="39">
        <v>1400</v>
      </c>
      <c r="G12" s="40">
        <f t="shared" si="0"/>
        <v>3750</v>
      </c>
    </row>
    <row r="13" spans="1:7" x14ac:dyDescent="0.25">
      <c r="A13" s="37">
        <v>7</v>
      </c>
      <c r="B13" s="1" t="s">
        <v>114</v>
      </c>
      <c r="C13" s="38">
        <v>950</v>
      </c>
      <c r="D13" s="39">
        <v>750</v>
      </c>
      <c r="E13" s="39">
        <v>1400</v>
      </c>
      <c r="F13" s="39">
        <v>750</v>
      </c>
      <c r="G13" s="40">
        <f t="shared" si="0"/>
        <v>3850</v>
      </c>
    </row>
    <row r="14" spans="1:7" x14ac:dyDescent="0.25">
      <c r="A14" s="37">
        <v>8</v>
      </c>
      <c r="B14" s="1" t="s">
        <v>115</v>
      </c>
      <c r="C14" s="38">
        <v>1500</v>
      </c>
      <c r="D14" s="39">
        <v>900</v>
      </c>
      <c r="E14" s="39">
        <v>1300</v>
      </c>
      <c r="F14" s="39">
        <v>1850</v>
      </c>
      <c r="G14" s="40">
        <f>SUM(C14:F14)</f>
        <v>5550</v>
      </c>
    </row>
    <row r="15" spans="1:7" ht="15.75" thickBot="1" x14ac:dyDescent="0.3">
      <c r="A15" s="279" t="s">
        <v>116</v>
      </c>
      <c r="B15" s="279"/>
      <c r="C15" s="41">
        <f>SUM(C7:C14)</f>
        <v>7850</v>
      </c>
      <c r="D15" s="42">
        <f>SUM(D7:D14)</f>
        <v>7850</v>
      </c>
      <c r="E15" s="42">
        <f>SUM(E7:E14)</f>
        <v>9550</v>
      </c>
      <c r="F15" s="42">
        <f>SUM(F7:F14)</f>
        <v>9400</v>
      </c>
      <c r="G15" s="42">
        <f t="shared" si="0"/>
        <v>34650</v>
      </c>
    </row>
    <row r="16" spans="1:7" ht="15.75" thickTop="1" x14ac:dyDescent="0.25">
      <c r="A16" s="280" t="s">
        <v>117</v>
      </c>
      <c r="B16" s="281"/>
      <c r="C16" s="281"/>
      <c r="D16" s="281"/>
      <c r="E16" s="281"/>
      <c r="F16" s="281"/>
      <c r="G16" s="282"/>
    </row>
    <row r="17" spans="1:7" ht="15.75" thickBot="1" x14ac:dyDescent="0.3">
      <c r="A17" s="283"/>
      <c r="B17" s="284"/>
      <c r="C17" s="284"/>
      <c r="D17" s="284"/>
      <c r="E17" s="284"/>
      <c r="F17" s="284"/>
      <c r="G17" s="285"/>
    </row>
    <row r="18" spans="1:7" ht="15.75" thickTop="1" x14ac:dyDescent="0.25">
      <c r="A18" s="286" t="s">
        <v>129</v>
      </c>
      <c r="B18" s="288" t="s">
        <v>118</v>
      </c>
      <c r="C18" s="290" t="s">
        <v>103</v>
      </c>
      <c r="D18" s="290" t="s">
        <v>104</v>
      </c>
      <c r="E18" s="290" t="s">
        <v>105</v>
      </c>
      <c r="F18" s="290" t="s">
        <v>106</v>
      </c>
      <c r="G18" s="288" t="s">
        <v>107</v>
      </c>
    </row>
    <row r="19" spans="1:7" x14ac:dyDescent="0.25">
      <c r="A19" s="287"/>
      <c r="B19" s="289"/>
      <c r="C19" s="291"/>
      <c r="D19" s="291"/>
      <c r="E19" s="291"/>
      <c r="F19" s="291"/>
      <c r="G19" s="289"/>
    </row>
    <row r="20" spans="1:7" x14ac:dyDescent="0.25">
      <c r="A20" s="37">
        <v>1</v>
      </c>
      <c r="B20" s="1" t="s">
        <v>119</v>
      </c>
      <c r="C20" s="39">
        <v>1000</v>
      </c>
      <c r="D20" s="39">
        <v>1300</v>
      </c>
      <c r="E20" s="39">
        <v>1100</v>
      </c>
      <c r="F20" s="39">
        <v>1000</v>
      </c>
      <c r="G20" s="40">
        <f>SUM(C20:F20)</f>
        <v>4400</v>
      </c>
    </row>
    <row r="21" spans="1:7" x14ac:dyDescent="0.25">
      <c r="A21" s="37">
        <v>2</v>
      </c>
      <c r="B21" s="1" t="s">
        <v>120</v>
      </c>
      <c r="C21" s="39">
        <v>900</v>
      </c>
      <c r="D21" s="39">
        <v>600</v>
      </c>
      <c r="E21" s="39">
        <v>350</v>
      </c>
      <c r="F21" s="39">
        <v>250</v>
      </c>
      <c r="G21" s="40">
        <f t="shared" ref="G21:G27" si="1">SUM(C21:F21)</f>
        <v>2100</v>
      </c>
    </row>
    <row r="22" spans="1:7" x14ac:dyDescent="0.25">
      <c r="A22" s="37">
        <v>3</v>
      </c>
      <c r="B22" s="1" t="s">
        <v>121</v>
      </c>
      <c r="C22" s="39">
        <v>1950</v>
      </c>
      <c r="D22" s="39">
        <v>2000</v>
      </c>
      <c r="E22" s="39">
        <v>2100</v>
      </c>
      <c r="F22" s="39">
        <v>1080</v>
      </c>
      <c r="G22" s="40">
        <f t="shared" si="1"/>
        <v>7130</v>
      </c>
    </row>
    <row r="23" spans="1:7" x14ac:dyDescent="0.25">
      <c r="A23" s="37">
        <v>4</v>
      </c>
      <c r="B23" s="1" t="s">
        <v>122</v>
      </c>
      <c r="C23" s="39">
        <v>500</v>
      </c>
      <c r="D23" s="39">
        <v>400</v>
      </c>
      <c r="E23" s="39">
        <v>600</v>
      </c>
      <c r="F23" s="39">
        <v>700</v>
      </c>
      <c r="G23" s="40">
        <f t="shared" si="1"/>
        <v>2200</v>
      </c>
    </row>
    <row r="24" spans="1:7" x14ac:dyDescent="0.25">
      <c r="A24" s="37">
        <v>5</v>
      </c>
      <c r="B24" s="1" t="s">
        <v>123</v>
      </c>
      <c r="C24" s="39">
        <v>600</v>
      </c>
      <c r="D24" s="39">
        <v>650</v>
      </c>
      <c r="E24" s="39">
        <v>550</v>
      </c>
      <c r="F24" s="39">
        <v>500</v>
      </c>
      <c r="G24" s="40">
        <f t="shared" si="1"/>
        <v>2300</v>
      </c>
    </row>
    <row r="25" spans="1:7" x14ac:dyDescent="0.25">
      <c r="A25" s="37">
        <v>6</v>
      </c>
      <c r="B25" s="1" t="s">
        <v>124</v>
      </c>
      <c r="C25" s="39">
        <v>750</v>
      </c>
      <c r="D25" s="39">
        <v>850</v>
      </c>
      <c r="E25" s="39">
        <v>800</v>
      </c>
      <c r="F25" s="39">
        <v>820</v>
      </c>
      <c r="G25" s="40">
        <f t="shared" si="1"/>
        <v>3220</v>
      </c>
    </row>
    <row r="26" spans="1:7" x14ac:dyDescent="0.25">
      <c r="A26" s="37">
        <v>7</v>
      </c>
      <c r="B26" s="1" t="s">
        <v>12</v>
      </c>
      <c r="C26" s="39">
        <v>800</v>
      </c>
      <c r="D26" s="39">
        <v>700</v>
      </c>
      <c r="E26" s="39">
        <v>600</v>
      </c>
      <c r="F26" s="39">
        <v>550</v>
      </c>
      <c r="G26" s="40">
        <f t="shared" si="1"/>
        <v>2650</v>
      </c>
    </row>
    <row r="27" spans="1:7" x14ac:dyDescent="0.25">
      <c r="A27" s="37">
        <v>8</v>
      </c>
      <c r="B27" s="1" t="s">
        <v>125</v>
      </c>
      <c r="C27" s="39">
        <v>1000</v>
      </c>
      <c r="D27" s="39">
        <v>2000</v>
      </c>
      <c r="E27" s="39">
        <v>1500</v>
      </c>
      <c r="F27" s="39">
        <v>1800</v>
      </c>
      <c r="G27" s="40">
        <f t="shared" si="1"/>
        <v>6300</v>
      </c>
    </row>
    <row r="28" spans="1:7" ht="15.75" thickBot="1" x14ac:dyDescent="0.3">
      <c r="A28" s="266" t="s">
        <v>126</v>
      </c>
      <c r="B28" s="266"/>
      <c r="C28" s="42">
        <f>SUM(C20:C27)</f>
        <v>7500</v>
      </c>
      <c r="D28" s="42">
        <f>SUM(D20:D27)</f>
        <v>8500</v>
      </c>
      <c r="E28" s="42">
        <f>SUM(E20:E27)</f>
        <v>7600</v>
      </c>
      <c r="F28" s="42">
        <f>SUM(F20:F27)</f>
        <v>6700</v>
      </c>
      <c r="G28" s="42">
        <f>SUM(C28:F28)</f>
        <v>30300</v>
      </c>
    </row>
    <row r="29" spans="1:7" ht="15.75" thickTop="1" x14ac:dyDescent="0.25">
      <c r="A29" s="267" t="s">
        <v>127</v>
      </c>
      <c r="B29" s="268"/>
      <c r="C29" s="268"/>
      <c r="D29" s="268"/>
      <c r="E29" s="268"/>
      <c r="F29" s="268"/>
      <c r="G29" s="269"/>
    </row>
    <row r="30" spans="1:7" ht="15.75" thickBot="1" x14ac:dyDescent="0.3">
      <c r="A30" s="270"/>
      <c r="B30" s="271"/>
      <c r="C30" s="271"/>
      <c r="D30" s="271"/>
      <c r="E30" s="271"/>
      <c r="F30" s="271"/>
      <c r="G30" s="272"/>
    </row>
    <row r="31" spans="1:7" ht="16.5" thickTop="1" thickBot="1" x14ac:dyDescent="0.3">
      <c r="A31" s="273" t="s">
        <v>128</v>
      </c>
      <c r="B31" s="273"/>
      <c r="C31" s="43">
        <f>C15-C28</f>
        <v>350</v>
      </c>
      <c r="D31" s="43">
        <f t="shared" ref="D31:G31" si="2">D15-D28</f>
        <v>-650</v>
      </c>
      <c r="E31" s="43">
        <f t="shared" si="2"/>
        <v>1950</v>
      </c>
      <c r="F31" s="43">
        <f t="shared" si="2"/>
        <v>2700</v>
      </c>
      <c r="G31" s="43">
        <f t="shared" si="2"/>
        <v>4350</v>
      </c>
    </row>
    <row r="32" spans="1:7" ht="15.75" thickTop="1" x14ac:dyDescent="0.25">
      <c r="A32" s="274"/>
      <c r="B32" s="247"/>
      <c r="C32" s="247"/>
      <c r="D32" s="247"/>
      <c r="E32" s="247"/>
      <c r="F32" s="247"/>
      <c r="G32" s="275"/>
    </row>
    <row r="33" spans="1:7" x14ac:dyDescent="0.25">
      <c r="A33" s="276"/>
      <c r="B33" s="277"/>
      <c r="C33" s="277"/>
      <c r="D33" s="277"/>
      <c r="E33" s="277"/>
      <c r="F33" s="277"/>
      <c r="G33" s="278"/>
    </row>
  </sheetData>
  <mergeCells count="22">
    <mergeCell ref="A28:B28"/>
    <mergeCell ref="A29:G30"/>
    <mergeCell ref="A31:B31"/>
    <mergeCell ref="A32:G33"/>
    <mergeCell ref="A15:B15"/>
    <mergeCell ref="A16:G17"/>
    <mergeCell ref="A18:A19"/>
    <mergeCell ref="B18:B19"/>
    <mergeCell ref="C18:C19"/>
    <mergeCell ref="D18:D19"/>
    <mergeCell ref="E18:E19"/>
    <mergeCell ref="F18:F19"/>
    <mergeCell ref="G18:G19"/>
    <mergeCell ref="A1:G1"/>
    <mergeCell ref="A4:G4"/>
    <mergeCell ref="A5:A6"/>
    <mergeCell ref="B5:B6"/>
    <mergeCell ref="C5:C6"/>
    <mergeCell ref="D5:D6"/>
    <mergeCell ref="E5:E6"/>
    <mergeCell ref="F5:F6"/>
    <mergeCell ref="G5:G6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F39"/>
  <sheetViews>
    <sheetView workbookViewId="0">
      <selection activeCell="H8" sqref="H8"/>
    </sheetView>
  </sheetViews>
  <sheetFormatPr defaultRowHeight="15" x14ac:dyDescent="0.25"/>
  <cols>
    <col min="1" max="1" width="4" customWidth="1"/>
    <col min="2" max="2" width="27.28515625" customWidth="1"/>
    <col min="3" max="3" width="9" customWidth="1"/>
    <col min="4" max="4" width="11.5703125" customWidth="1"/>
    <col min="5" max="5" width="17.85546875" customWidth="1"/>
    <col min="6" max="6" width="22.7109375" customWidth="1"/>
  </cols>
  <sheetData>
    <row r="1" spans="1:6" x14ac:dyDescent="0.25">
      <c r="A1" s="44"/>
      <c r="B1" s="44"/>
      <c r="C1" s="44"/>
      <c r="D1" s="44"/>
      <c r="E1" s="44"/>
      <c r="F1" s="44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A3" s="44"/>
      <c r="B3" s="44"/>
      <c r="C3" s="44"/>
      <c r="D3" s="44"/>
      <c r="E3" s="44"/>
      <c r="F3" s="44"/>
    </row>
    <row r="4" spans="1:6" x14ac:dyDescent="0.25">
      <c r="A4" s="44"/>
      <c r="B4" s="44"/>
      <c r="C4" s="44"/>
      <c r="D4" s="44"/>
      <c r="E4" s="44"/>
      <c r="F4" s="44"/>
    </row>
    <row r="5" spans="1:6" x14ac:dyDescent="0.25">
      <c r="A5" s="44"/>
      <c r="B5" s="44"/>
      <c r="C5" s="44"/>
      <c r="D5" s="44"/>
      <c r="E5" s="44"/>
      <c r="F5" s="44"/>
    </row>
    <row r="6" spans="1:6" x14ac:dyDescent="0.25">
      <c r="A6" s="44"/>
      <c r="B6" s="44"/>
      <c r="C6" s="44"/>
      <c r="D6" s="44"/>
      <c r="E6" s="44"/>
      <c r="F6" s="44"/>
    </row>
    <row r="7" spans="1:6" x14ac:dyDescent="0.25">
      <c r="A7" s="44"/>
      <c r="B7" s="44"/>
      <c r="C7" s="44"/>
      <c r="D7" s="44"/>
      <c r="E7" s="44"/>
      <c r="F7" s="44"/>
    </row>
    <row r="8" spans="1:6" x14ac:dyDescent="0.25">
      <c r="A8" s="45"/>
      <c r="B8" s="45"/>
      <c r="C8" s="45"/>
      <c r="D8" s="45"/>
      <c r="E8" s="45"/>
      <c r="F8" s="45"/>
    </row>
    <row r="9" spans="1:6" ht="26.25" x14ac:dyDescent="0.25">
      <c r="A9" s="46" t="s">
        <v>130</v>
      </c>
      <c r="B9" s="46" t="s">
        <v>131</v>
      </c>
      <c r="C9" s="46" t="s">
        <v>132</v>
      </c>
      <c r="D9" s="46" t="s">
        <v>133</v>
      </c>
      <c r="E9" s="46" t="s">
        <v>134</v>
      </c>
      <c r="F9" s="46" t="s">
        <v>135</v>
      </c>
    </row>
    <row r="10" spans="1:6" x14ac:dyDescent="0.25">
      <c r="A10" s="47">
        <v>1</v>
      </c>
      <c r="B10" s="48" t="s">
        <v>136</v>
      </c>
      <c r="C10" s="68">
        <v>3</v>
      </c>
      <c r="D10" s="69">
        <v>150</v>
      </c>
      <c r="E10" s="69">
        <f>D10*C10</f>
        <v>450</v>
      </c>
      <c r="F10" s="70">
        <v>1800000</v>
      </c>
    </row>
    <row r="11" spans="1:6" x14ac:dyDescent="0.25">
      <c r="A11" s="49">
        <v>2</v>
      </c>
      <c r="B11" s="50" t="s">
        <v>137</v>
      </c>
      <c r="C11" s="71">
        <v>5</v>
      </c>
      <c r="D11" s="72">
        <v>170</v>
      </c>
      <c r="E11" s="72">
        <f t="shared" ref="E11:E21" si="0">D11*C11</f>
        <v>850</v>
      </c>
      <c r="F11" s="73">
        <v>3400000</v>
      </c>
    </row>
    <row r="12" spans="1:6" x14ac:dyDescent="0.25">
      <c r="A12" s="49">
        <v>3</v>
      </c>
      <c r="B12" s="50" t="s">
        <v>138</v>
      </c>
      <c r="C12" s="71">
        <v>10</v>
      </c>
      <c r="D12" s="72">
        <v>190</v>
      </c>
      <c r="E12" s="72">
        <f t="shared" si="0"/>
        <v>1900</v>
      </c>
      <c r="F12" s="73">
        <v>7600000</v>
      </c>
    </row>
    <row r="13" spans="1:6" x14ac:dyDescent="0.25">
      <c r="A13" s="49">
        <v>4</v>
      </c>
      <c r="B13" s="50" t="s">
        <v>139</v>
      </c>
      <c r="C13" s="71">
        <v>5</v>
      </c>
      <c r="D13" s="72">
        <v>45</v>
      </c>
      <c r="E13" s="72">
        <f t="shared" si="0"/>
        <v>225</v>
      </c>
      <c r="F13" s="73">
        <v>900000</v>
      </c>
    </row>
    <row r="14" spans="1:6" x14ac:dyDescent="0.25">
      <c r="A14" s="49">
        <v>5</v>
      </c>
      <c r="B14" s="50" t="s">
        <v>140</v>
      </c>
      <c r="C14" s="71">
        <v>6</v>
      </c>
      <c r="D14" s="72">
        <v>45</v>
      </c>
      <c r="E14" s="72">
        <f t="shared" si="0"/>
        <v>270</v>
      </c>
      <c r="F14" s="73">
        <v>1080000</v>
      </c>
    </row>
    <row r="15" spans="1:6" x14ac:dyDescent="0.25">
      <c r="A15" s="49">
        <v>6</v>
      </c>
      <c r="B15" s="50" t="s">
        <v>141</v>
      </c>
      <c r="C15" s="71">
        <v>3</v>
      </c>
      <c r="D15" s="72">
        <v>50</v>
      </c>
      <c r="E15" s="72">
        <f t="shared" si="0"/>
        <v>150</v>
      </c>
      <c r="F15" s="73">
        <v>600000</v>
      </c>
    </row>
    <row r="16" spans="1:6" x14ac:dyDescent="0.25">
      <c r="A16" s="49">
        <v>7</v>
      </c>
      <c r="B16" s="50" t="s">
        <v>142</v>
      </c>
      <c r="C16" s="71">
        <v>8</v>
      </c>
      <c r="D16" s="72">
        <v>45</v>
      </c>
      <c r="E16" s="72">
        <f t="shared" si="0"/>
        <v>360</v>
      </c>
      <c r="F16" s="73">
        <v>1440000</v>
      </c>
    </row>
    <row r="17" spans="1:6" x14ac:dyDescent="0.25">
      <c r="A17" s="49">
        <v>8</v>
      </c>
      <c r="B17" s="50" t="s">
        <v>143</v>
      </c>
      <c r="C17" s="71">
        <v>10</v>
      </c>
      <c r="D17" s="72">
        <v>25</v>
      </c>
      <c r="E17" s="72">
        <f t="shared" si="0"/>
        <v>250</v>
      </c>
      <c r="F17" s="73">
        <v>1000000</v>
      </c>
    </row>
    <row r="18" spans="1:6" x14ac:dyDescent="0.25">
      <c r="A18" s="49">
        <v>9</v>
      </c>
      <c r="B18" s="50" t="s">
        <v>144</v>
      </c>
      <c r="C18" s="71">
        <v>20</v>
      </c>
      <c r="D18" s="72">
        <v>5</v>
      </c>
      <c r="E18" s="72">
        <f t="shared" si="0"/>
        <v>100</v>
      </c>
      <c r="F18" s="73">
        <v>400000</v>
      </c>
    </row>
    <row r="19" spans="1:6" x14ac:dyDescent="0.25">
      <c r="A19" s="49">
        <v>10</v>
      </c>
      <c r="B19" s="50" t="s">
        <v>145</v>
      </c>
      <c r="C19" s="71">
        <v>20</v>
      </c>
      <c r="D19" s="72">
        <v>3</v>
      </c>
      <c r="E19" s="72">
        <f t="shared" si="0"/>
        <v>60</v>
      </c>
      <c r="F19" s="73">
        <v>240000</v>
      </c>
    </row>
    <row r="20" spans="1:6" x14ac:dyDescent="0.25">
      <c r="A20" s="49">
        <v>11</v>
      </c>
      <c r="B20" s="50" t="s">
        <v>146</v>
      </c>
      <c r="C20" s="71">
        <v>2</v>
      </c>
      <c r="D20" s="72">
        <v>45</v>
      </c>
      <c r="E20" s="72">
        <f t="shared" si="0"/>
        <v>90</v>
      </c>
      <c r="F20" s="73">
        <v>360000</v>
      </c>
    </row>
    <row r="21" spans="1:6" x14ac:dyDescent="0.25">
      <c r="A21" s="49">
        <v>12</v>
      </c>
      <c r="B21" s="50" t="s">
        <v>147</v>
      </c>
      <c r="C21" s="71">
        <v>20</v>
      </c>
      <c r="D21" s="72">
        <v>29</v>
      </c>
      <c r="E21" s="72">
        <f t="shared" si="0"/>
        <v>580</v>
      </c>
      <c r="F21" s="73">
        <v>2320000</v>
      </c>
    </row>
    <row r="22" spans="1:6" x14ac:dyDescent="0.25">
      <c r="A22" s="49">
        <v>13</v>
      </c>
      <c r="B22" s="50"/>
      <c r="C22" s="74"/>
      <c r="D22" s="74"/>
      <c r="E22" s="74"/>
      <c r="F22" s="74"/>
    </row>
    <row r="23" spans="1:6" x14ac:dyDescent="0.25">
      <c r="A23" s="49">
        <v>14</v>
      </c>
      <c r="B23" s="50"/>
      <c r="C23" s="74"/>
      <c r="D23" s="74"/>
      <c r="E23" s="74"/>
      <c r="F23" s="74"/>
    </row>
    <row r="24" spans="1:6" x14ac:dyDescent="0.25">
      <c r="A24" s="49">
        <v>15</v>
      </c>
      <c r="B24" s="50"/>
      <c r="C24" s="74"/>
      <c r="D24" s="74"/>
      <c r="E24" s="74"/>
      <c r="F24" s="74"/>
    </row>
    <row r="25" spans="1:6" x14ac:dyDescent="0.25">
      <c r="A25" s="49">
        <v>16</v>
      </c>
      <c r="B25" s="50"/>
      <c r="C25" s="74"/>
      <c r="D25" s="74"/>
      <c r="E25" s="74"/>
      <c r="F25" s="74"/>
    </row>
    <row r="26" spans="1:6" x14ac:dyDescent="0.25">
      <c r="A26" s="49">
        <v>17</v>
      </c>
      <c r="B26" s="50"/>
      <c r="C26" s="74"/>
      <c r="D26" s="74"/>
      <c r="E26" s="74"/>
      <c r="F26" s="74"/>
    </row>
    <row r="27" spans="1:6" x14ac:dyDescent="0.25">
      <c r="A27" s="49">
        <v>18</v>
      </c>
      <c r="B27" s="50"/>
      <c r="C27" s="74"/>
      <c r="D27" s="74"/>
      <c r="E27" s="74"/>
      <c r="F27" s="74"/>
    </row>
    <row r="28" spans="1:6" x14ac:dyDescent="0.25">
      <c r="A28" s="49">
        <v>19</v>
      </c>
      <c r="B28" s="50"/>
      <c r="C28" s="74"/>
      <c r="D28" s="74"/>
      <c r="E28" s="74"/>
      <c r="F28" s="74"/>
    </row>
    <row r="29" spans="1:6" x14ac:dyDescent="0.25">
      <c r="A29" s="49">
        <v>20</v>
      </c>
      <c r="B29" s="50"/>
      <c r="C29" s="8"/>
      <c r="D29" s="8"/>
      <c r="E29" s="8"/>
      <c r="F29" s="8"/>
    </row>
    <row r="30" spans="1:6" ht="26.25" x14ac:dyDescent="0.8">
      <c r="A30" s="54"/>
      <c r="B30" s="55"/>
      <c r="C30" s="55"/>
      <c r="D30" s="56" t="s">
        <v>148</v>
      </c>
      <c r="E30" s="57">
        <f>SUM(E10:E21)</f>
        <v>5285</v>
      </c>
      <c r="F30" s="58">
        <f>SUM(F10:F21)</f>
        <v>21140000</v>
      </c>
    </row>
    <row r="31" spans="1:6" ht="26.25" x14ac:dyDescent="0.8">
      <c r="A31" s="51"/>
      <c r="B31" s="52"/>
      <c r="C31" s="292" t="s">
        <v>149</v>
      </c>
      <c r="D31" s="293"/>
      <c r="E31" s="57">
        <f>E30*20%</f>
        <v>1057</v>
      </c>
      <c r="F31" s="58">
        <f>F30*20%</f>
        <v>4228000</v>
      </c>
    </row>
    <row r="32" spans="1:6" ht="26.25" x14ac:dyDescent="0.8">
      <c r="A32" s="51"/>
      <c r="B32" s="52"/>
      <c r="C32" s="75"/>
      <c r="D32" s="76" t="s">
        <v>150</v>
      </c>
      <c r="E32" s="57">
        <f>E30-E31</f>
        <v>4228</v>
      </c>
      <c r="F32" s="58">
        <f>F30-F31</f>
        <v>16912000</v>
      </c>
    </row>
    <row r="33" spans="1:6" x14ac:dyDescent="0.25">
      <c r="A33" s="51"/>
      <c r="B33" s="52"/>
      <c r="C33" s="52"/>
      <c r="D33" s="52"/>
      <c r="E33" s="55"/>
      <c r="F33" s="59"/>
    </row>
    <row r="34" spans="1:6" x14ac:dyDescent="0.25">
      <c r="A34" s="51"/>
      <c r="B34" s="52"/>
      <c r="C34" s="52"/>
      <c r="D34" s="52"/>
      <c r="E34" s="52"/>
      <c r="F34" s="53"/>
    </row>
    <row r="35" spans="1:6" x14ac:dyDescent="0.25">
      <c r="A35" s="51"/>
      <c r="B35" s="52"/>
      <c r="C35" s="52"/>
      <c r="D35" s="52"/>
      <c r="E35" s="52"/>
      <c r="F35" s="53"/>
    </row>
    <row r="36" spans="1:6" x14ac:dyDescent="0.25">
      <c r="A36" s="51"/>
      <c r="B36" s="52"/>
      <c r="C36" s="52"/>
      <c r="D36" s="52"/>
      <c r="E36" s="52"/>
      <c r="F36" s="53"/>
    </row>
    <row r="37" spans="1:6" ht="26.25" x14ac:dyDescent="0.25">
      <c r="A37" s="294" t="s">
        <v>151</v>
      </c>
      <c r="B37" s="295"/>
      <c r="C37" s="295"/>
      <c r="D37" s="295"/>
      <c r="E37" s="295"/>
      <c r="F37" s="296"/>
    </row>
    <row r="38" spans="1:6" ht="26.25" x14ac:dyDescent="0.25">
      <c r="A38" s="294" t="s">
        <v>152</v>
      </c>
      <c r="B38" s="295"/>
      <c r="C38" s="295"/>
      <c r="D38" s="295"/>
      <c r="E38" s="295"/>
      <c r="F38" s="296"/>
    </row>
    <row r="39" spans="1:6" ht="26.25" x14ac:dyDescent="0.25">
      <c r="A39" s="297" t="s">
        <v>153</v>
      </c>
      <c r="B39" s="298"/>
      <c r="C39" s="298"/>
      <c r="D39" s="298"/>
      <c r="E39" s="298"/>
      <c r="F39" s="299"/>
    </row>
  </sheetData>
  <mergeCells count="4">
    <mergeCell ref="C31:D31"/>
    <mergeCell ref="A37:F37"/>
    <mergeCell ref="A38:F38"/>
    <mergeCell ref="A39:F39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M47"/>
  <sheetViews>
    <sheetView topLeftCell="A4" workbookViewId="0">
      <selection activeCell="G28" sqref="G28"/>
    </sheetView>
  </sheetViews>
  <sheetFormatPr defaultRowHeight="15" x14ac:dyDescent="0.25"/>
  <cols>
    <col min="1" max="1" width="4.28515625" customWidth="1"/>
    <col min="2" max="2" width="18.140625" customWidth="1"/>
    <col min="3" max="3" width="8.42578125" customWidth="1"/>
    <col min="4" max="4" width="7.7109375" customWidth="1"/>
    <col min="5" max="5" width="7.42578125" customWidth="1"/>
    <col min="6" max="6" width="7.5703125" customWidth="1"/>
    <col min="7" max="7" width="6.7109375" customWidth="1"/>
    <col min="8" max="8" width="7.28515625" customWidth="1"/>
    <col min="9" max="9" width="7.7109375" customWidth="1"/>
    <col min="10" max="10" width="14.42578125" customWidth="1"/>
    <col min="11" max="11" width="10.140625" customWidth="1"/>
    <col min="12" max="13" width="9.7109375" customWidth="1"/>
  </cols>
  <sheetData>
    <row r="2" spans="1:13" ht="98.25" x14ac:dyDescent="0.25">
      <c r="A2" s="300" t="s">
        <v>174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6" spans="1:13" x14ac:dyDescent="0.25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3" ht="60.75" customHeight="1" x14ac:dyDescent="0.25">
      <c r="A7" s="80" t="s">
        <v>130</v>
      </c>
      <c r="B7" s="81" t="s">
        <v>175</v>
      </c>
      <c r="C7" s="81" t="s">
        <v>176</v>
      </c>
      <c r="D7" s="81" t="s">
        <v>177</v>
      </c>
      <c r="E7" s="82" t="s">
        <v>178</v>
      </c>
      <c r="F7" s="82" t="s">
        <v>179</v>
      </c>
      <c r="G7" s="82" t="s">
        <v>180</v>
      </c>
      <c r="H7" s="82" t="s">
        <v>181</v>
      </c>
      <c r="I7" s="82" t="s">
        <v>182</v>
      </c>
      <c r="J7" s="81" t="s">
        <v>183</v>
      </c>
      <c r="K7" s="81" t="s">
        <v>184</v>
      </c>
      <c r="L7" s="81" t="s">
        <v>185</v>
      </c>
      <c r="M7" s="83" t="s">
        <v>186</v>
      </c>
    </row>
    <row r="8" spans="1:13" x14ac:dyDescent="0.25">
      <c r="A8" s="84">
        <v>1</v>
      </c>
      <c r="B8" s="1" t="s">
        <v>187</v>
      </c>
      <c r="C8" s="85" t="s">
        <v>27</v>
      </c>
      <c r="D8" s="86">
        <v>28</v>
      </c>
      <c r="E8" s="1">
        <v>60</v>
      </c>
      <c r="F8" s="1">
        <v>75</v>
      </c>
      <c r="G8" s="1">
        <v>50</v>
      </c>
      <c r="H8" s="1">
        <v>55</v>
      </c>
      <c r="I8" s="1">
        <v>80</v>
      </c>
      <c r="J8" s="85">
        <f>SUM(E8:I8)</f>
        <v>320</v>
      </c>
      <c r="K8" s="87">
        <f>AVERAGE(E8:I8)</f>
        <v>64</v>
      </c>
      <c r="L8" s="85">
        <f>RANK(K8,$K$8:$K$23)</f>
        <v>6</v>
      </c>
      <c r="M8" s="88" t="str">
        <f>IF(K8&gt;=50,"Pass","Fail")</f>
        <v>Pass</v>
      </c>
    </row>
    <row r="9" spans="1:13" x14ac:dyDescent="0.25">
      <c r="A9" s="84">
        <v>2</v>
      </c>
      <c r="B9" s="1" t="s">
        <v>188</v>
      </c>
      <c r="C9" s="85" t="s">
        <v>27</v>
      </c>
      <c r="D9" s="86">
        <v>31</v>
      </c>
      <c r="E9" s="1">
        <v>50</v>
      </c>
      <c r="F9" s="1">
        <v>65</v>
      </c>
      <c r="G9" s="1">
        <v>55</v>
      </c>
      <c r="H9" s="1">
        <v>65</v>
      </c>
      <c r="I9" s="1">
        <v>65</v>
      </c>
      <c r="J9" s="85">
        <f t="shared" ref="J9:J23" si="0">SUM(E9:I9)</f>
        <v>300</v>
      </c>
      <c r="K9" s="85">
        <f t="shared" ref="K9:K23" si="1">AVERAGE(E9:I9)</f>
        <v>60</v>
      </c>
      <c r="L9" s="85">
        <f t="shared" ref="L9:L23" si="2">RANK(K9,$K$8:$K$23)</f>
        <v>8</v>
      </c>
      <c r="M9" s="88" t="str">
        <f t="shared" ref="M9:M23" si="3">IF(K9&gt;=50,"Pass","Fail")</f>
        <v>Pass</v>
      </c>
    </row>
    <row r="10" spans="1:13" x14ac:dyDescent="0.25">
      <c r="A10" s="84">
        <v>3</v>
      </c>
      <c r="B10" s="1" t="s">
        <v>189</v>
      </c>
      <c r="C10" s="85" t="s">
        <v>22</v>
      </c>
      <c r="D10" s="86">
        <v>10</v>
      </c>
      <c r="E10" s="1">
        <v>70</v>
      </c>
      <c r="F10" s="1">
        <v>60</v>
      </c>
      <c r="G10" s="1">
        <v>65</v>
      </c>
      <c r="H10" s="1">
        <v>75</v>
      </c>
      <c r="I10" s="1">
        <v>90</v>
      </c>
      <c r="J10" s="85">
        <f t="shared" si="0"/>
        <v>360</v>
      </c>
      <c r="K10" s="85">
        <f t="shared" si="1"/>
        <v>72</v>
      </c>
      <c r="L10" s="85">
        <f t="shared" si="2"/>
        <v>3</v>
      </c>
      <c r="M10" s="88" t="str">
        <f t="shared" si="3"/>
        <v>Pass</v>
      </c>
    </row>
    <row r="11" spans="1:13" x14ac:dyDescent="0.25">
      <c r="A11" s="84">
        <v>4</v>
      </c>
      <c r="B11" s="1" t="s">
        <v>190</v>
      </c>
      <c r="C11" s="85" t="s">
        <v>22</v>
      </c>
      <c r="D11" s="86">
        <v>9</v>
      </c>
      <c r="E11" s="1">
        <v>40</v>
      </c>
      <c r="F11" s="1">
        <v>85</v>
      </c>
      <c r="G11" s="1">
        <v>10</v>
      </c>
      <c r="H11" s="1">
        <v>45</v>
      </c>
      <c r="I11" s="1">
        <v>35</v>
      </c>
      <c r="J11" s="85">
        <f t="shared" si="0"/>
        <v>215</v>
      </c>
      <c r="K11" s="85">
        <f t="shared" si="1"/>
        <v>43</v>
      </c>
      <c r="L11" s="85">
        <f t="shared" si="2"/>
        <v>16</v>
      </c>
      <c r="M11" s="88" t="str">
        <f t="shared" si="3"/>
        <v>Fail</v>
      </c>
    </row>
    <row r="12" spans="1:13" x14ac:dyDescent="0.25">
      <c r="A12" s="84">
        <v>5</v>
      </c>
      <c r="B12" s="1" t="s">
        <v>191</v>
      </c>
      <c r="C12" s="85" t="s">
        <v>22</v>
      </c>
      <c r="D12" s="86">
        <v>41</v>
      </c>
      <c r="E12" s="1">
        <v>65</v>
      </c>
      <c r="F12" s="1">
        <v>30</v>
      </c>
      <c r="G12" s="1">
        <v>50</v>
      </c>
      <c r="H12" s="1">
        <v>75</v>
      </c>
      <c r="I12" s="1">
        <v>55</v>
      </c>
      <c r="J12" s="85">
        <f t="shared" si="0"/>
        <v>275</v>
      </c>
      <c r="K12" s="85">
        <f t="shared" si="1"/>
        <v>55</v>
      </c>
      <c r="L12" s="85">
        <f t="shared" si="2"/>
        <v>12</v>
      </c>
      <c r="M12" s="88" t="str">
        <f t="shared" si="3"/>
        <v>Pass</v>
      </c>
    </row>
    <row r="13" spans="1:13" x14ac:dyDescent="0.25">
      <c r="A13" s="84">
        <v>6</v>
      </c>
      <c r="B13" s="1" t="s">
        <v>192</v>
      </c>
      <c r="C13" s="85" t="s">
        <v>27</v>
      </c>
      <c r="D13" s="86">
        <v>12</v>
      </c>
      <c r="E13" s="1">
        <v>35</v>
      </c>
      <c r="F13" s="1">
        <v>45</v>
      </c>
      <c r="G13" s="1">
        <v>50</v>
      </c>
      <c r="H13" s="1">
        <v>55</v>
      </c>
      <c r="I13" s="1">
        <v>65</v>
      </c>
      <c r="J13" s="85">
        <f t="shared" si="0"/>
        <v>250</v>
      </c>
      <c r="K13" s="85">
        <f t="shared" si="1"/>
        <v>50</v>
      </c>
      <c r="L13" s="85">
        <f t="shared" si="2"/>
        <v>14</v>
      </c>
      <c r="M13" s="88" t="str">
        <f t="shared" si="3"/>
        <v>Pass</v>
      </c>
    </row>
    <row r="14" spans="1:13" x14ac:dyDescent="0.25">
      <c r="A14" s="84">
        <v>7</v>
      </c>
      <c r="B14" s="1" t="s">
        <v>193</v>
      </c>
      <c r="C14" s="85" t="s">
        <v>22</v>
      </c>
      <c r="D14" s="86">
        <v>11</v>
      </c>
      <c r="E14" s="1">
        <v>25</v>
      </c>
      <c r="F14" s="1">
        <v>55</v>
      </c>
      <c r="G14" s="1">
        <v>65</v>
      </c>
      <c r="H14" s="1">
        <v>60</v>
      </c>
      <c r="I14" s="1">
        <v>75</v>
      </c>
      <c r="J14" s="85">
        <f t="shared" si="0"/>
        <v>280</v>
      </c>
      <c r="K14" s="85">
        <f t="shared" si="1"/>
        <v>56</v>
      </c>
      <c r="L14" s="85">
        <f t="shared" si="2"/>
        <v>11</v>
      </c>
      <c r="M14" s="88" t="str">
        <f t="shared" si="3"/>
        <v>Pass</v>
      </c>
    </row>
    <row r="15" spans="1:13" x14ac:dyDescent="0.25">
      <c r="A15" s="84">
        <v>8</v>
      </c>
      <c r="B15" s="1" t="s">
        <v>194</v>
      </c>
      <c r="C15" s="85" t="s">
        <v>27</v>
      </c>
      <c r="D15" s="86">
        <v>19</v>
      </c>
      <c r="E15" s="1">
        <v>50</v>
      </c>
      <c r="F15" s="1">
        <v>10</v>
      </c>
      <c r="G15" s="1">
        <v>70</v>
      </c>
      <c r="H15" s="1">
        <v>75</v>
      </c>
      <c r="I15" s="1">
        <v>55</v>
      </c>
      <c r="J15" s="85">
        <f t="shared" si="0"/>
        <v>260</v>
      </c>
      <c r="K15" s="85">
        <f t="shared" si="1"/>
        <v>52</v>
      </c>
      <c r="L15" s="85">
        <f t="shared" si="2"/>
        <v>13</v>
      </c>
      <c r="M15" s="88" t="str">
        <f t="shared" si="3"/>
        <v>Pass</v>
      </c>
    </row>
    <row r="16" spans="1:13" x14ac:dyDescent="0.25">
      <c r="A16" s="84">
        <v>9</v>
      </c>
      <c r="B16" s="1" t="s">
        <v>195</v>
      </c>
      <c r="C16" s="85" t="s">
        <v>27</v>
      </c>
      <c r="D16" s="86">
        <v>20</v>
      </c>
      <c r="E16" s="1">
        <v>55</v>
      </c>
      <c r="F16" s="1">
        <v>80</v>
      </c>
      <c r="G16" s="1">
        <v>75</v>
      </c>
      <c r="H16" s="1">
        <v>65</v>
      </c>
      <c r="I16" s="1">
        <v>60</v>
      </c>
      <c r="J16" s="85">
        <f t="shared" si="0"/>
        <v>335</v>
      </c>
      <c r="K16" s="85">
        <f t="shared" si="1"/>
        <v>67</v>
      </c>
      <c r="L16" s="85">
        <f t="shared" si="2"/>
        <v>4</v>
      </c>
      <c r="M16" s="88" t="str">
        <f t="shared" si="3"/>
        <v>Pass</v>
      </c>
    </row>
    <row r="17" spans="1:13" x14ac:dyDescent="0.25">
      <c r="A17" s="84">
        <v>10</v>
      </c>
      <c r="B17" s="1" t="s">
        <v>196</v>
      </c>
      <c r="C17" s="85" t="s">
        <v>22</v>
      </c>
      <c r="D17" s="86">
        <v>25</v>
      </c>
      <c r="E17" s="1">
        <v>60</v>
      </c>
      <c r="F17" s="1">
        <v>90</v>
      </c>
      <c r="G17" s="1">
        <v>85</v>
      </c>
      <c r="H17" s="1">
        <v>80</v>
      </c>
      <c r="I17" s="1">
        <v>70</v>
      </c>
      <c r="J17" s="85">
        <f t="shared" si="0"/>
        <v>385</v>
      </c>
      <c r="K17" s="85">
        <f t="shared" si="1"/>
        <v>77</v>
      </c>
      <c r="L17" s="85">
        <f t="shared" si="2"/>
        <v>2</v>
      </c>
      <c r="M17" s="88" t="str">
        <f t="shared" si="3"/>
        <v>Pass</v>
      </c>
    </row>
    <row r="18" spans="1:13" x14ac:dyDescent="0.25">
      <c r="A18" s="84">
        <v>11</v>
      </c>
      <c r="B18" s="1" t="s">
        <v>197</v>
      </c>
      <c r="C18" s="85" t="s">
        <v>22</v>
      </c>
      <c r="D18" s="86">
        <v>27</v>
      </c>
      <c r="E18" s="1">
        <v>50</v>
      </c>
      <c r="F18" s="1">
        <v>40</v>
      </c>
      <c r="G18" s="1">
        <v>35</v>
      </c>
      <c r="H18" s="1">
        <v>65</v>
      </c>
      <c r="I18" s="1">
        <v>50</v>
      </c>
      <c r="J18" s="85">
        <f t="shared" si="0"/>
        <v>240</v>
      </c>
      <c r="K18" s="85">
        <f t="shared" si="1"/>
        <v>48</v>
      </c>
      <c r="L18" s="85">
        <f t="shared" si="2"/>
        <v>15</v>
      </c>
      <c r="M18" s="88" t="str">
        <f t="shared" si="3"/>
        <v>Fail</v>
      </c>
    </row>
    <row r="19" spans="1:13" x14ac:dyDescent="0.25">
      <c r="A19" s="84">
        <v>12</v>
      </c>
      <c r="B19" s="1" t="s">
        <v>198</v>
      </c>
      <c r="C19" s="85" t="s">
        <v>22</v>
      </c>
      <c r="D19" s="86">
        <v>39</v>
      </c>
      <c r="E19" s="1">
        <v>80</v>
      </c>
      <c r="F19" s="1">
        <v>75</v>
      </c>
      <c r="G19" s="1">
        <v>55</v>
      </c>
      <c r="H19" s="1">
        <v>45</v>
      </c>
      <c r="I19" s="1">
        <v>65</v>
      </c>
      <c r="J19" s="85">
        <f t="shared" si="0"/>
        <v>320</v>
      </c>
      <c r="K19" s="85">
        <f t="shared" si="1"/>
        <v>64</v>
      </c>
      <c r="L19" s="85">
        <f t="shared" si="2"/>
        <v>6</v>
      </c>
      <c r="M19" s="88" t="str">
        <f t="shared" si="3"/>
        <v>Pass</v>
      </c>
    </row>
    <row r="20" spans="1:13" x14ac:dyDescent="0.25">
      <c r="A20" s="84">
        <v>13</v>
      </c>
      <c r="B20" s="1" t="s">
        <v>199</v>
      </c>
      <c r="C20" s="85" t="s">
        <v>27</v>
      </c>
      <c r="D20" s="86">
        <v>57</v>
      </c>
      <c r="E20" s="1">
        <v>65</v>
      </c>
      <c r="F20" s="1">
        <v>45</v>
      </c>
      <c r="G20" s="1">
        <v>65</v>
      </c>
      <c r="H20" s="1">
        <v>50</v>
      </c>
      <c r="I20" s="1">
        <v>70</v>
      </c>
      <c r="J20" s="85">
        <f t="shared" si="0"/>
        <v>295</v>
      </c>
      <c r="K20" s="85">
        <f t="shared" si="1"/>
        <v>59</v>
      </c>
      <c r="L20" s="85">
        <f t="shared" si="2"/>
        <v>9</v>
      </c>
      <c r="M20" s="88" t="str">
        <f t="shared" si="3"/>
        <v>Pass</v>
      </c>
    </row>
    <row r="21" spans="1:13" x14ac:dyDescent="0.25">
      <c r="A21" s="84">
        <v>14</v>
      </c>
      <c r="B21" s="1" t="s">
        <v>200</v>
      </c>
      <c r="C21" s="85" t="s">
        <v>27</v>
      </c>
      <c r="D21" s="86">
        <v>45</v>
      </c>
      <c r="E21" s="1">
        <v>45</v>
      </c>
      <c r="F21" s="1">
        <v>40</v>
      </c>
      <c r="G21" s="1">
        <v>50</v>
      </c>
      <c r="H21" s="1">
        <v>75</v>
      </c>
      <c r="I21" s="1">
        <v>75</v>
      </c>
      <c r="J21" s="85">
        <f t="shared" si="0"/>
        <v>285</v>
      </c>
      <c r="K21" s="85">
        <f t="shared" si="1"/>
        <v>57</v>
      </c>
      <c r="L21" s="85">
        <f t="shared" si="2"/>
        <v>10</v>
      </c>
      <c r="M21" s="88" t="str">
        <f t="shared" si="3"/>
        <v>Pass</v>
      </c>
    </row>
    <row r="22" spans="1:13" x14ac:dyDescent="0.25">
      <c r="A22" s="84">
        <v>15</v>
      </c>
      <c r="B22" s="1" t="s">
        <v>201</v>
      </c>
      <c r="C22" s="85" t="s">
        <v>27</v>
      </c>
      <c r="D22" s="86">
        <v>40</v>
      </c>
      <c r="E22" s="1">
        <v>40</v>
      </c>
      <c r="F22" s="1">
        <v>85</v>
      </c>
      <c r="G22" s="1">
        <v>55</v>
      </c>
      <c r="H22" s="1">
        <v>70</v>
      </c>
      <c r="I22" s="1">
        <v>80</v>
      </c>
      <c r="J22" s="85">
        <f t="shared" si="0"/>
        <v>330</v>
      </c>
      <c r="K22" s="85">
        <f t="shared" si="1"/>
        <v>66</v>
      </c>
      <c r="L22" s="85">
        <f t="shared" si="2"/>
        <v>5</v>
      </c>
      <c r="M22" s="88" t="str">
        <f t="shared" si="3"/>
        <v>Pass</v>
      </c>
    </row>
    <row r="23" spans="1:13" ht="15.75" thickBot="1" x14ac:dyDescent="0.3">
      <c r="A23" s="84">
        <v>16</v>
      </c>
      <c r="B23" s="89" t="s">
        <v>202</v>
      </c>
      <c r="C23" s="67" t="s">
        <v>22</v>
      </c>
      <c r="D23" s="90">
        <v>80</v>
      </c>
      <c r="E23" s="89">
        <v>80</v>
      </c>
      <c r="F23" s="89">
        <v>90</v>
      </c>
      <c r="G23" s="89">
        <v>65</v>
      </c>
      <c r="H23" s="89">
        <v>80</v>
      </c>
      <c r="I23" s="89">
        <v>90</v>
      </c>
      <c r="J23" s="85">
        <f t="shared" si="0"/>
        <v>405</v>
      </c>
      <c r="K23" s="85">
        <f t="shared" si="1"/>
        <v>81</v>
      </c>
      <c r="L23" s="85">
        <f t="shared" si="2"/>
        <v>1</v>
      </c>
      <c r="M23" s="88" t="str">
        <f t="shared" si="3"/>
        <v>Pass</v>
      </c>
    </row>
    <row r="24" spans="1:13" ht="15.75" thickTop="1" x14ac:dyDescent="0.2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3"/>
    </row>
    <row r="25" spans="1:13" x14ac:dyDescent="0.2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3"/>
    </row>
    <row r="26" spans="1:13" x14ac:dyDescent="0.2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3"/>
    </row>
    <row r="27" spans="1:13" x14ac:dyDescent="0.25">
      <c r="A27" s="94"/>
      <c r="B27" s="95"/>
      <c r="C27" s="95"/>
      <c r="D27" s="95"/>
      <c r="E27" s="95"/>
      <c r="F27" s="95"/>
      <c r="G27" s="95"/>
      <c r="H27" s="95"/>
      <c r="I27" s="95"/>
      <c r="J27" s="92"/>
      <c r="K27" s="92"/>
      <c r="L27" s="92"/>
      <c r="M27" s="93"/>
    </row>
    <row r="28" spans="1:13" ht="31.5" x14ac:dyDescent="0.25">
      <c r="A28" s="301" t="s">
        <v>203</v>
      </c>
      <c r="B28" s="302"/>
      <c r="C28" s="302"/>
      <c r="D28" s="303"/>
      <c r="E28" s="1">
        <f>MAX(E8:E23)</f>
        <v>80</v>
      </c>
      <c r="F28" s="1">
        <f t="shared" ref="F28:I28" si="4">MAX(F8:F23)</f>
        <v>90</v>
      </c>
      <c r="G28" s="1">
        <f t="shared" si="4"/>
        <v>85</v>
      </c>
      <c r="H28" s="1">
        <f t="shared" si="4"/>
        <v>80</v>
      </c>
      <c r="I28" s="1">
        <f t="shared" si="4"/>
        <v>90</v>
      </c>
      <c r="J28" s="91"/>
      <c r="K28" s="92"/>
      <c r="L28" s="92"/>
      <c r="M28" s="93"/>
    </row>
    <row r="29" spans="1:13" ht="31.5" x14ac:dyDescent="0.25">
      <c r="A29" s="301" t="s">
        <v>204</v>
      </c>
      <c r="B29" s="302"/>
      <c r="C29" s="302"/>
      <c r="D29" s="303"/>
      <c r="E29" s="1">
        <f>MIN(E8:E23)</f>
        <v>25</v>
      </c>
      <c r="F29" s="1">
        <f t="shared" ref="F29:I29" si="5">MIN(F8:F23)</f>
        <v>10</v>
      </c>
      <c r="G29" s="1">
        <f t="shared" si="5"/>
        <v>10</v>
      </c>
      <c r="H29" s="1">
        <f t="shared" si="5"/>
        <v>45</v>
      </c>
      <c r="I29" s="1">
        <f t="shared" si="5"/>
        <v>35</v>
      </c>
      <c r="J29" s="91"/>
      <c r="K29" s="92"/>
      <c r="L29" s="92"/>
      <c r="M29" s="93"/>
    </row>
    <row r="30" spans="1:13" x14ac:dyDescent="0.25">
      <c r="A30" s="96"/>
      <c r="B30" s="97"/>
      <c r="C30" s="97"/>
      <c r="D30" s="97"/>
      <c r="E30" s="97"/>
      <c r="F30" s="97"/>
      <c r="G30" s="97"/>
      <c r="H30" s="97"/>
      <c r="I30" s="97"/>
      <c r="J30" s="92"/>
      <c r="K30" s="92"/>
      <c r="L30" s="92"/>
      <c r="M30" s="93"/>
    </row>
    <row r="31" spans="1:13" x14ac:dyDescent="0.2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3"/>
    </row>
    <row r="32" spans="1:13" x14ac:dyDescent="0.2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3"/>
    </row>
    <row r="33" spans="1:13" x14ac:dyDescent="0.2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3"/>
    </row>
    <row r="34" spans="1:13" x14ac:dyDescent="0.2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3"/>
    </row>
    <row r="35" spans="1:13" x14ac:dyDescent="0.2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3"/>
    </row>
    <row r="36" spans="1:13" x14ac:dyDescent="0.25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3"/>
    </row>
    <row r="37" spans="1:13" x14ac:dyDescent="0.25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3"/>
    </row>
    <row r="38" spans="1:13" x14ac:dyDescent="0.25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3"/>
    </row>
    <row r="39" spans="1:13" x14ac:dyDescent="0.25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3"/>
    </row>
    <row r="40" spans="1:13" x14ac:dyDescent="0.25">
      <c r="A40" s="91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3"/>
    </row>
    <row r="41" spans="1:13" x14ac:dyDescent="0.25">
      <c r="A41" s="91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3"/>
    </row>
    <row r="42" spans="1:13" x14ac:dyDescent="0.25">
      <c r="A42" s="91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3"/>
    </row>
    <row r="43" spans="1:13" x14ac:dyDescent="0.25">
      <c r="A43" s="91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3"/>
    </row>
    <row r="44" spans="1:13" x14ac:dyDescent="0.25">
      <c r="A44" s="91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3"/>
    </row>
    <row r="45" spans="1:13" x14ac:dyDescent="0.25">
      <c r="A45" s="91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3"/>
    </row>
    <row r="46" spans="1:13" x14ac:dyDescent="0.25">
      <c r="A46" s="91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3"/>
    </row>
    <row r="47" spans="1:13" x14ac:dyDescent="0.25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8"/>
    </row>
  </sheetData>
  <mergeCells count="3">
    <mergeCell ref="A2:M2"/>
    <mergeCell ref="A28:D28"/>
    <mergeCell ref="A29:D29"/>
  </mergeCells>
  <pageMargins left="0.25" right="0.25" top="0.75" bottom="0.75" header="0.3" footer="0.3"/>
  <pageSetup paperSize="9" scale="82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39"/>
  <sheetViews>
    <sheetView zoomScaleNormal="100" workbookViewId="0">
      <selection activeCell="A34" sqref="A34:B34"/>
    </sheetView>
  </sheetViews>
  <sheetFormatPr defaultRowHeight="15" x14ac:dyDescent="0.25"/>
  <cols>
    <col min="1" max="1" width="4.85546875" customWidth="1"/>
    <col min="2" max="2" width="13.140625" customWidth="1"/>
    <col min="3" max="3" width="15.5703125" customWidth="1"/>
    <col min="4" max="4" width="10.85546875" customWidth="1"/>
    <col min="5" max="5" width="8.85546875" customWidth="1"/>
    <col min="6" max="6" width="19.28515625" customWidth="1"/>
    <col min="7" max="7" width="10.42578125" customWidth="1"/>
    <col min="8" max="8" width="14.5703125" customWidth="1"/>
  </cols>
  <sheetData>
    <row r="1" spans="1:8" ht="33.75" x14ac:dyDescent="0.25">
      <c r="A1" s="304" t="s">
        <v>208</v>
      </c>
      <c r="B1" s="304"/>
      <c r="C1" s="304"/>
      <c r="D1" s="304"/>
      <c r="E1" s="304"/>
      <c r="F1" s="304"/>
      <c r="G1" s="304"/>
      <c r="H1" s="304"/>
    </row>
    <row r="3" spans="1:8" x14ac:dyDescent="0.25">
      <c r="E3" s="100"/>
    </row>
    <row r="4" spans="1:8" x14ac:dyDescent="0.25">
      <c r="A4" s="305" t="s">
        <v>209</v>
      </c>
      <c r="B4" s="305" t="s">
        <v>210</v>
      </c>
      <c r="C4" s="305" t="s">
        <v>205</v>
      </c>
      <c r="D4" s="305" t="s">
        <v>206</v>
      </c>
      <c r="E4" s="305" t="s">
        <v>207</v>
      </c>
      <c r="F4" s="307" t="s">
        <v>211</v>
      </c>
      <c r="G4" s="308"/>
      <c r="H4" s="309"/>
    </row>
    <row r="5" spans="1:8" ht="30.75" customHeight="1" x14ac:dyDescent="0.25">
      <c r="A5" s="306"/>
      <c r="B5" s="306"/>
      <c r="C5" s="306"/>
      <c r="D5" s="306"/>
      <c r="E5" s="306"/>
      <c r="F5" s="85" t="s">
        <v>212</v>
      </c>
      <c r="G5" s="101" t="s">
        <v>213</v>
      </c>
      <c r="H5" s="101" t="s">
        <v>214</v>
      </c>
    </row>
    <row r="6" spans="1:8" x14ac:dyDescent="0.25">
      <c r="A6" s="102">
        <v>1</v>
      </c>
      <c r="B6" s="1" t="s">
        <v>215</v>
      </c>
      <c r="C6" s="103">
        <v>37048</v>
      </c>
      <c r="D6" s="104">
        <v>200</v>
      </c>
      <c r="E6" s="129">
        <v>15</v>
      </c>
      <c r="F6" s="128">
        <f>D6*E6*4000</f>
        <v>12000000</v>
      </c>
      <c r="G6" s="108">
        <f>F6/4000</f>
        <v>3000</v>
      </c>
      <c r="H6" s="105">
        <f>SUM(F6/100)</f>
        <v>120000</v>
      </c>
    </row>
    <row r="7" spans="1:8" x14ac:dyDescent="0.25">
      <c r="A7" s="102">
        <v>2</v>
      </c>
      <c r="B7" s="1" t="s">
        <v>216</v>
      </c>
      <c r="C7" s="103">
        <v>37049</v>
      </c>
      <c r="D7" s="104">
        <v>50</v>
      </c>
      <c r="E7" s="129">
        <v>10</v>
      </c>
      <c r="F7" s="128">
        <f t="shared" ref="F7:F19" si="0">D7*E7*4000</f>
        <v>2000000</v>
      </c>
      <c r="G7" s="108">
        <f t="shared" ref="G7:G19" si="1">F7/4000</f>
        <v>500</v>
      </c>
      <c r="H7" s="105">
        <f t="shared" ref="H7:H19" si="2">SUM(F7/100)</f>
        <v>20000</v>
      </c>
    </row>
    <row r="8" spans="1:8" x14ac:dyDescent="0.25">
      <c r="A8" s="102">
        <v>3</v>
      </c>
      <c r="B8" s="1" t="s">
        <v>217</v>
      </c>
      <c r="C8" s="103">
        <v>37050</v>
      </c>
      <c r="D8" s="104">
        <v>65</v>
      </c>
      <c r="E8" s="129">
        <v>8</v>
      </c>
      <c r="F8" s="128">
        <f t="shared" si="0"/>
        <v>2080000</v>
      </c>
      <c r="G8" s="108">
        <f t="shared" si="1"/>
        <v>520</v>
      </c>
      <c r="H8" s="105">
        <f t="shared" si="2"/>
        <v>20800</v>
      </c>
    </row>
    <row r="9" spans="1:8" x14ac:dyDescent="0.25">
      <c r="A9" s="102">
        <v>4</v>
      </c>
      <c r="B9" s="1" t="s">
        <v>218</v>
      </c>
      <c r="C9" s="103">
        <v>37051</v>
      </c>
      <c r="D9" s="104">
        <v>80</v>
      </c>
      <c r="E9" s="129">
        <v>12</v>
      </c>
      <c r="F9" s="128">
        <f t="shared" si="0"/>
        <v>3840000</v>
      </c>
      <c r="G9" s="108">
        <f t="shared" si="1"/>
        <v>960</v>
      </c>
      <c r="H9" s="105">
        <f t="shared" si="2"/>
        <v>38400</v>
      </c>
    </row>
    <row r="10" spans="1:8" x14ac:dyDescent="0.25">
      <c r="A10" s="102">
        <v>5</v>
      </c>
      <c r="B10" s="1" t="s">
        <v>219</v>
      </c>
      <c r="C10" s="103">
        <v>37052</v>
      </c>
      <c r="D10" s="104">
        <v>150</v>
      </c>
      <c r="E10" s="129">
        <v>14</v>
      </c>
      <c r="F10" s="128">
        <f t="shared" si="0"/>
        <v>8400000</v>
      </c>
      <c r="G10" s="108">
        <f t="shared" si="1"/>
        <v>2100</v>
      </c>
      <c r="H10" s="105">
        <f t="shared" si="2"/>
        <v>84000</v>
      </c>
    </row>
    <row r="11" spans="1:8" x14ac:dyDescent="0.25">
      <c r="A11" s="102">
        <v>6</v>
      </c>
      <c r="B11" s="1" t="s">
        <v>220</v>
      </c>
      <c r="C11" s="103">
        <v>37053</v>
      </c>
      <c r="D11" s="104">
        <v>130</v>
      </c>
      <c r="E11" s="129">
        <v>9</v>
      </c>
      <c r="F11" s="128">
        <f t="shared" si="0"/>
        <v>4680000</v>
      </c>
      <c r="G11" s="108">
        <f t="shared" si="1"/>
        <v>1170</v>
      </c>
      <c r="H11" s="105">
        <f t="shared" si="2"/>
        <v>46800</v>
      </c>
    </row>
    <row r="12" spans="1:8" x14ac:dyDescent="0.25">
      <c r="A12" s="102">
        <v>7</v>
      </c>
      <c r="B12" s="1" t="s">
        <v>221</v>
      </c>
      <c r="C12" s="103">
        <v>37054</v>
      </c>
      <c r="D12" s="104">
        <v>120</v>
      </c>
      <c r="E12" s="129">
        <v>9</v>
      </c>
      <c r="F12" s="128">
        <f t="shared" si="0"/>
        <v>4320000</v>
      </c>
      <c r="G12" s="108">
        <f t="shared" si="1"/>
        <v>1080</v>
      </c>
      <c r="H12" s="105">
        <f t="shared" si="2"/>
        <v>43200</v>
      </c>
    </row>
    <row r="13" spans="1:8" x14ac:dyDescent="0.25">
      <c r="A13" s="102">
        <v>8</v>
      </c>
      <c r="B13" s="1" t="s">
        <v>215</v>
      </c>
      <c r="C13" s="103">
        <v>37055</v>
      </c>
      <c r="D13" s="104">
        <v>100</v>
      </c>
      <c r="E13" s="129">
        <v>15</v>
      </c>
      <c r="F13" s="128">
        <f t="shared" si="0"/>
        <v>6000000</v>
      </c>
      <c r="G13" s="108">
        <f t="shared" si="1"/>
        <v>1500</v>
      </c>
      <c r="H13" s="105">
        <f t="shared" si="2"/>
        <v>60000</v>
      </c>
    </row>
    <row r="14" spans="1:8" x14ac:dyDescent="0.25">
      <c r="A14" s="102">
        <v>9</v>
      </c>
      <c r="B14" s="1" t="s">
        <v>216</v>
      </c>
      <c r="C14" s="103">
        <v>37056</v>
      </c>
      <c r="D14" s="104">
        <v>60</v>
      </c>
      <c r="E14" s="129">
        <v>10</v>
      </c>
      <c r="F14" s="128">
        <f t="shared" si="0"/>
        <v>2400000</v>
      </c>
      <c r="G14" s="108">
        <f t="shared" si="1"/>
        <v>600</v>
      </c>
      <c r="H14" s="105">
        <f t="shared" si="2"/>
        <v>24000</v>
      </c>
    </row>
    <row r="15" spans="1:8" x14ac:dyDescent="0.25">
      <c r="A15" s="102">
        <v>10</v>
      </c>
      <c r="B15" s="1" t="s">
        <v>217</v>
      </c>
      <c r="C15" s="103">
        <v>37057</v>
      </c>
      <c r="D15" s="104">
        <v>70</v>
      </c>
      <c r="E15" s="129">
        <v>8</v>
      </c>
      <c r="F15" s="128">
        <f t="shared" si="0"/>
        <v>2240000</v>
      </c>
      <c r="G15" s="108">
        <f t="shared" si="1"/>
        <v>560</v>
      </c>
      <c r="H15" s="105">
        <f t="shared" si="2"/>
        <v>22400</v>
      </c>
    </row>
    <row r="16" spans="1:8" x14ac:dyDescent="0.25">
      <c r="A16" s="102">
        <v>11</v>
      </c>
      <c r="B16" s="1" t="s">
        <v>218</v>
      </c>
      <c r="C16" s="103">
        <v>37058</v>
      </c>
      <c r="D16" s="104">
        <v>80</v>
      </c>
      <c r="E16" s="129">
        <v>12</v>
      </c>
      <c r="F16" s="128">
        <f t="shared" si="0"/>
        <v>3840000</v>
      </c>
      <c r="G16" s="108">
        <f t="shared" si="1"/>
        <v>960</v>
      </c>
      <c r="H16" s="105">
        <f t="shared" si="2"/>
        <v>38400</v>
      </c>
    </row>
    <row r="17" spans="1:8" x14ac:dyDescent="0.25">
      <c r="A17" s="102">
        <v>12</v>
      </c>
      <c r="B17" s="1" t="s">
        <v>219</v>
      </c>
      <c r="C17" s="103">
        <v>37059</v>
      </c>
      <c r="D17" s="104">
        <v>250</v>
      </c>
      <c r="E17" s="129">
        <v>14</v>
      </c>
      <c r="F17" s="128">
        <f t="shared" si="0"/>
        <v>14000000</v>
      </c>
      <c r="G17" s="108">
        <f t="shared" si="1"/>
        <v>3500</v>
      </c>
      <c r="H17" s="105">
        <f t="shared" si="2"/>
        <v>140000</v>
      </c>
    </row>
    <row r="18" spans="1:8" x14ac:dyDescent="0.25">
      <c r="A18" s="102">
        <v>13</v>
      </c>
      <c r="B18" s="1" t="s">
        <v>220</v>
      </c>
      <c r="C18" s="103">
        <v>37060</v>
      </c>
      <c r="D18" s="104">
        <v>160</v>
      </c>
      <c r="E18" s="129">
        <v>9</v>
      </c>
      <c r="F18" s="128">
        <f t="shared" si="0"/>
        <v>5760000</v>
      </c>
      <c r="G18" s="108">
        <f t="shared" si="1"/>
        <v>1440</v>
      </c>
      <c r="H18" s="105">
        <f t="shared" si="2"/>
        <v>57600</v>
      </c>
    </row>
    <row r="19" spans="1:8" x14ac:dyDescent="0.25">
      <c r="A19" s="102">
        <v>14</v>
      </c>
      <c r="B19" s="1" t="s">
        <v>221</v>
      </c>
      <c r="C19" s="103">
        <v>37061</v>
      </c>
      <c r="D19" s="104">
        <v>85</v>
      </c>
      <c r="E19" s="129">
        <v>9</v>
      </c>
      <c r="F19" s="128">
        <f t="shared" si="0"/>
        <v>3060000</v>
      </c>
      <c r="G19" s="108">
        <f t="shared" si="1"/>
        <v>765</v>
      </c>
      <c r="H19" s="105">
        <f t="shared" si="2"/>
        <v>30600</v>
      </c>
    </row>
    <row r="20" spans="1:8" x14ac:dyDescent="0.25">
      <c r="A20" s="106"/>
      <c r="B20" s="310" t="s">
        <v>222</v>
      </c>
      <c r="C20" s="311"/>
      <c r="D20" s="107">
        <f>MIN(D6:D19)</f>
        <v>50</v>
      </c>
      <c r="E20" s="130">
        <f>MIN(E6:E19)</f>
        <v>8</v>
      </c>
      <c r="F20" s="128">
        <f>MIN(F6:F19)</f>
        <v>2000000</v>
      </c>
      <c r="G20" s="108">
        <f>MIN(G6:G19)</f>
        <v>500</v>
      </c>
      <c r="H20" s="105">
        <f>MIN(H6:H19)</f>
        <v>20000</v>
      </c>
    </row>
    <row r="21" spans="1:8" x14ac:dyDescent="0.25">
      <c r="A21" s="106"/>
      <c r="B21" s="310" t="s">
        <v>223</v>
      </c>
      <c r="C21" s="311"/>
      <c r="D21" s="107">
        <f>MAX(D6:D18)</f>
        <v>250</v>
      </c>
      <c r="E21" s="130">
        <f>MAX(E6:E18)</f>
        <v>15</v>
      </c>
      <c r="F21" s="128">
        <f>MAX(F6:F18)</f>
        <v>14000000</v>
      </c>
      <c r="G21" s="108">
        <f>MAX(G6:G18)</f>
        <v>3500</v>
      </c>
      <c r="H21" s="105">
        <f>MAX(H6:H18)</f>
        <v>140000</v>
      </c>
    </row>
    <row r="22" spans="1:8" x14ac:dyDescent="0.25">
      <c r="A22" s="106"/>
      <c r="B22" s="310" t="s">
        <v>107</v>
      </c>
      <c r="C22" s="311"/>
      <c r="D22" s="107">
        <f>SUM(D6:D19)</f>
        <v>1600</v>
      </c>
      <c r="E22" s="130">
        <f>SUM(E6:E19)</f>
        <v>154</v>
      </c>
      <c r="F22" s="128">
        <f>SUM(F6:F19)</f>
        <v>74620000</v>
      </c>
      <c r="G22" s="108">
        <f>SUM(G6:G19)</f>
        <v>18655</v>
      </c>
      <c r="H22" s="105">
        <f>SUM(H6:H19)</f>
        <v>746200</v>
      </c>
    </row>
    <row r="23" spans="1:8" x14ac:dyDescent="0.25">
      <c r="A23" s="109"/>
      <c r="B23" s="110"/>
      <c r="C23" s="110"/>
      <c r="D23" s="110"/>
      <c r="E23" s="110"/>
      <c r="F23" s="110"/>
      <c r="G23" s="110"/>
      <c r="H23" s="111"/>
    </row>
    <row r="24" spans="1:8" x14ac:dyDescent="0.25">
      <c r="A24" s="112"/>
      <c r="B24" s="113"/>
      <c r="C24" s="113"/>
      <c r="D24" s="113"/>
      <c r="E24" s="113"/>
      <c r="F24" s="113"/>
      <c r="G24" s="113"/>
      <c r="H24" s="114"/>
    </row>
    <row r="25" spans="1:8" ht="23.25" x14ac:dyDescent="0.25">
      <c r="A25" s="312" t="s">
        <v>224</v>
      </c>
      <c r="B25" s="313"/>
      <c r="C25" s="313"/>
      <c r="D25" s="313"/>
      <c r="E25" s="313"/>
      <c r="F25" s="313"/>
      <c r="G25" s="313"/>
      <c r="H25" s="314"/>
    </row>
    <row r="26" spans="1:8" x14ac:dyDescent="0.25">
      <c r="A26" s="112"/>
      <c r="B26" s="113"/>
      <c r="C26" s="113"/>
      <c r="D26" s="113"/>
      <c r="E26" s="113"/>
      <c r="F26" s="113"/>
      <c r="G26" s="113"/>
      <c r="H26" s="114"/>
    </row>
    <row r="27" spans="1:8" x14ac:dyDescent="0.25">
      <c r="A27" s="115"/>
      <c r="B27" s="116"/>
      <c r="C27" s="116"/>
      <c r="D27" s="116"/>
      <c r="E27" s="116"/>
      <c r="F27" s="116"/>
      <c r="G27" s="116"/>
      <c r="H27" s="117"/>
    </row>
    <row r="28" spans="1:8" ht="45" customHeight="1" x14ac:dyDescent="0.25">
      <c r="A28" s="315" t="s">
        <v>225</v>
      </c>
      <c r="B28" s="316"/>
      <c r="C28" s="101" t="s">
        <v>226</v>
      </c>
      <c r="D28" s="317" t="s">
        <v>227</v>
      </c>
      <c r="E28" s="318"/>
      <c r="F28" s="101" t="s">
        <v>228</v>
      </c>
      <c r="G28" s="317" t="s">
        <v>229</v>
      </c>
      <c r="H28" s="309"/>
    </row>
    <row r="29" spans="1:8" x14ac:dyDescent="0.25">
      <c r="A29" s="308" t="s">
        <v>215</v>
      </c>
      <c r="B29" s="309"/>
      <c r="C29" s="131">
        <f>SUMIF($B$6:$B$19,"Angkor Beer",$D$6:$D$19)</f>
        <v>300</v>
      </c>
      <c r="D29" s="319"/>
      <c r="E29" s="320"/>
      <c r="F29" s="132"/>
      <c r="G29" s="321"/>
      <c r="H29" s="322"/>
    </row>
    <row r="30" spans="1:8" x14ac:dyDescent="0.25">
      <c r="A30" s="326" t="s">
        <v>216</v>
      </c>
      <c r="B30" s="327"/>
      <c r="C30" s="131">
        <f t="shared" ref="C30:C35" si="3">SUMIF(B7:B20,B7,D7:D20)</f>
        <v>110</v>
      </c>
      <c r="D30" s="319"/>
      <c r="E30" s="320"/>
      <c r="F30" s="132"/>
      <c r="G30" s="321"/>
      <c r="H30" s="322"/>
    </row>
    <row r="31" spans="1:8" x14ac:dyDescent="0.25">
      <c r="A31" s="326" t="s">
        <v>217</v>
      </c>
      <c r="B31" s="327"/>
      <c r="C31" s="131">
        <f t="shared" si="3"/>
        <v>135</v>
      </c>
      <c r="D31" s="319"/>
      <c r="E31" s="320"/>
      <c r="F31" s="132"/>
      <c r="G31" s="321"/>
      <c r="H31" s="322"/>
    </row>
    <row r="32" spans="1:8" x14ac:dyDescent="0.25">
      <c r="A32" s="326" t="s">
        <v>218</v>
      </c>
      <c r="B32" s="327"/>
      <c r="C32" s="131">
        <f t="shared" si="3"/>
        <v>160</v>
      </c>
      <c r="D32" s="319"/>
      <c r="E32" s="320"/>
      <c r="F32" s="132"/>
      <c r="G32" s="321"/>
      <c r="H32" s="322"/>
    </row>
    <row r="33" spans="1:8" x14ac:dyDescent="0.25">
      <c r="A33" s="326" t="s">
        <v>230</v>
      </c>
      <c r="B33" s="327"/>
      <c r="C33" s="131">
        <f t="shared" si="3"/>
        <v>400</v>
      </c>
      <c r="D33" s="319"/>
      <c r="E33" s="320"/>
      <c r="F33" s="132"/>
      <c r="G33" s="321"/>
      <c r="H33" s="322"/>
    </row>
    <row r="34" spans="1:8" x14ac:dyDescent="0.25">
      <c r="A34" s="326" t="s">
        <v>231</v>
      </c>
      <c r="B34" s="327"/>
      <c r="C34" s="131">
        <f t="shared" si="3"/>
        <v>290</v>
      </c>
      <c r="D34" s="319"/>
      <c r="E34" s="320"/>
      <c r="F34" s="132"/>
      <c r="G34" s="321"/>
      <c r="H34" s="322"/>
    </row>
    <row r="35" spans="1:8" x14ac:dyDescent="0.25">
      <c r="A35" s="326" t="s">
        <v>221</v>
      </c>
      <c r="B35" s="327"/>
      <c r="C35" s="131">
        <f t="shared" si="3"/>
        <v>205</v>
      </c>
      <c r="D35" s="319"/>
      <c r="E35" s="320"/>
      <c r="F35" s="132"/>
      <c r="G35" s="321"/>
      <c r="H35" s="322"/>
    </row>
    <row r="36" spans="1:8" x14ac:dyDescent="0.25">
      <c r="A36" s="118"/>
      <c r="B36" s="119"/>
      <c r="C36" s="119"/>
      <c r="D36" s="119"/>
      <c r="E36" s="119"/>
      <c r="F36" s="119"/>
      <c r="G36" s="119"/>
      <c r="H36" s="120"/>
    </row>
    <row r="37" spans="1:8" x14ac:dyDescent="0.25">
      <c r="A37" s="121" t="s">
        <v>232</v>
      </c>
      <c r="B37" s="122"/>
      <c r="C37" s="122"/>
      <c r="D37" s="122"/>
      <c r="E37" s="122"/>
      <c r="F37" s="122"/>
      <c r="G37" s="122"/>
      <c r="H37" s="123"/>
    </row>
    <row r="38" spans="1:8" x14ac:dyDescent="0.25">
      <c r="A38" s="124"/>
      <c r="B38" s="323" t="s">
        <v>233</v>
      </c>
      <c r="C38" s="309"/>
      <c r="D38" s="122"/>
      <c r="E38" s="122"/>
      <c r="F38" s="122"/>
      <c r="G38" s="122"/>
      <c r="H38" s="123"/>
    </row>
    <row r="39" spans="1:8" x14ac:dyDescent="0.25">
      <c r="A39" s="125"/>
      <c r="B39" s="324" t="s">
        <v>234</v>
      </c>
      <c r="C39" s="325"/>
      <c r="D39" s="126"/>
      <c r="E39" s="126"/>
      <c r="F39" s="126"/>
      <c r="G39" s="126"/>
      <c r="H39" s="127"/>
    </row>
  </sheetData>
  <mergeCells count="37">
    <mergeCell ref="B39:C39"/>
    <mergeCell ref="A30:B30"/>
    <mergeCell ref="A31:B31"/>
    <mergeCell ref="A32:B32"/>
    <mergeCell ref="A33:B33"/>
    <mergeCell ref="A34:B34"/>
    <mergeCell ref="A35:B35"/>
    <mergeCell ref="D34:E34"/>
    <mergeCell ref="G34:H34"/>
    <mergeCell ref="D35:E35"/>
    <mergeCell ref="G35:H35"/>
    <mergeCell ref="B38:C38"/>
    <mergeCell ref="D31:E31"/>
    <mergeCell ref="G31:H31"/>
    <mergeCell ref="D32:E32"/>
    <mergeCell ref="G32:H32"/>
    <mergeCell ref="D33:E33"/>
    <mergeCell ref="G33:H33"/>
    <mergeCell ref="A29:B29"/>
    <mergeCell ref="D29:E29"/>
    <mergeCell ref="G29:H29"/>
    <mergeCell ref="D30:E30"/>
    <mergeCell ref="G30:H30"/>
    <mergeCell ref="B20:C20"/>
    <mergeCell ref="B21:C21"/>
    <mergeCell ref="B22:C22"/>
    <mergeCell ref="A25:H25"/>
    <mergeCell ref="A28:B28"/>
    <mergeCell ref="D28:E28"/>
    <mergeCell ref="G28:H28"/>
    <mergeCell ref="A1:H1"/>
    <mergeCell ref="A4:A5"/>
    <mergeCell ref="B4:B5"/>
    <mergeCell ref="C4:C5"/>
    <mergeCell ref="D4:D5"/>
    <mergeCell ref="E4:E5"/>
    <mergeCell ref="F4:H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O29"/>
  <sheetViews>
    <sheetView workbookViewId="0">
      <selection activeCell="O23" sqref="O23"/>
    </sheetView>
  </sheetViews>
  <sheetFormatPr defaultRowHeight="15" x14ac:dyDescent="0.25"/>
  <cols>
    <col min="1" max="1" width="9.42578125" customWidth="1"/>
    <col min="2" max="2" width="13.85546875" customWidth="1"/>
    <col min="3" max="3" width="10.140625" bestFit="1" customWidth="1"/>
    <col min="5" max="5" width="8.28515625" customWidth="1"/>
    <col min="6" max="6" width="10.7109375" customWidth="1"/>
    <col min="7" max="7" width="11.42578125" customWidth="1"/>
    <col min="8" max="8" width="11.28515625" customWidth="1"/>
    <col min="9" max="9" width="10.5703125" customWidth="1"/>
    <col min="10" max="10" width="12" customWidth="1"/>
    <col min="11" max="11" width="16.28515625" customWidth="1"/>
    <col min="12" max="12" width="13.85546875" customWidth="1"/>
    <col min="15" max="15" width="9.7109375" bestFit="1" customWidth="1"/>
  </cols>
  <sheetData>
    <row r="1" spans="1:15" ht="23.25" x14ac:dyDescent="0.25">
      <c r="A1" s="334" t="s">
        <v>235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</row>
    <row r="8" spans="1:15" x14ac:dyDescent="0.25">
      <c r="A8" s="305" t="s">
        <v>205</v>
      </c>
      <c r="B8" s="305" t="s">
        <v>236</v>
      </c>
      <c r="C8" s="307" t="s">
        <v>237</v>
      </c>
      <c r="D8" s="309"/>
      <c r="E8" s="305" t="s">
        <v>238</v>
      </c>
      <c r="F8" s="305" t="s">
        <v>239</v>
      </c>
      <c r="G8" s="336" t="s">
        <v>240</v>
      </c>
      <c r="H8" s="336" t="s">
        <v>241</v>
      </c>
      <c r="I8" s="305" t="s">
        <v>242</v>
      </c>
      <c r="J8" s="307" t="s">
        <v>243</v>
      </c>
      <c r="K8" s="308"/>
      <c r="L8" s="309"/>
    </row>
    <row r="9" spans="1:15" x14ac:dyDescent="0.25">
      <c r="A9" s="306"/>
      <c r="B9" s="306"/>
      <c r="C9" s="85" t="s">
        <v>244</v>
      </c>
      <c r="D9" s="133" t="s">
        <v>207</v>
      </c>
      <c r="E9" s="306"/>
      <c r="F9" s="306"/>
      <c r="G9" s="306"/>
      <c r="H9" s="306"/>
      <c r="I9" s="306"/>
      <c r="J9" s="85" t="s">
        <v>245</v>
      </c>
      <c r="K9" s="85" t="s">
        <v>246</v>
      </c>
      <c r="L9" s="85" t="s">
        <v>247</v>
      </c>
    </row>
    <row r="10" spans="1:15" x14ac:dyDescent="0.25">
      <c r="A10" s="134">
        <v>37057</v>
      </c>
      <c r="B10" s="85" t="s">
        <v>248</v>
      </c>
      <c r="C10" s="135">
        <v>900</v>
      </c>
      <c r="D10" s="133">
        <v>15</v>
      </c>
      <c r="E10" s="136">
        <f>D10*10%</f>
        <v>1.5</v>
      </c>
      <c r="F10" s="136">
        <f>D10*20%</f>
        <v>3</v>
      </c>
      <c r="G10" s="137">
        <f>D10+E10+F10</f>
        <v>19.5</v>
      </c>
      <c r="H10" s="138">
        <f>C10*G10</f>
        <v>17550</v>
      </c>
      <c r="I10" s="138">
        <f>IF(H10&lt;30000,H10*1%,IF(H10&lt;50000,H10*2%,IF(H10&gt;=50000,H10*3%)))</f>
        <v>175.5</v>
      </c>
      <c r="J10" s="138">
        <f>H10-I10</f>
        <v>17374.5</v>
      </c>
      <c r="K10" s="139">
        <f>J10*4000</f>
        <v>69498000</v>
      </c>
      <c r="L10" s="140">
        <f>J10*40</f>
        <v>694980</v>
      </c>
    </row>
    <row r="11" spans="1:15" x14ac:dyDescent="0.25">
      <c r="A11" s="134">
        <v>37058</v>
      </c>
      <c r="B11" s="141" t="s">
        <v>249</v>
      </c>
      <c r="C11" s="135">
        <v>1000</v>
      </c>
      <c r="D11" s="133">
        <v>20</v>
      </c>
      <c r="E11" s="136">
        <f t="shared" ref="E11:E22" si="0">D11*10%</f>
        <v>2</v>
      </c>
      <c r="F11" s="136">
        <f t="shared" ref="F11:F22" si="1">D11*20%</f>
        <v>4</v>
      </c>
      <c r="G11" s="137">
        <f t="shared" ref="G11:G22" si="2">D11+E11+F11</f>
        <v>26</v>
      </c>
      <c r="H11" s="138">
        <f t="shared" ref="H11:H22" si="3">C11*G11</f>
        <v>26000</v>
      </c>
      <c r="I11" s="138">
        <f t="shared" ref="I11:I22" si="4">IF(H11&lt;30000,H11*1%,IF(H11&lt;50000,H11*2%,IF(H11&gt;=50000,H11*3%)))</f>
        <v>260</v>
      </c>
      <c r="J11" s="138">
        <f t="shared" ref="J11:J22" si="5">H11-I11</f>
        <v>25740</v>
      </c>
      <c r="K11" s="139">
        <f t="shared" ref="K11:K22" si="6">J11*4000</f>
        <v>102960000</v>
      </c>
      <c r="L11" s="140">
        <f t="shared" ref="L11:L22" si="7">J11*40</f>
        <v>1029600</v>
      </c>
      <c r="O11" s="25"/>
    </row>
    <row r="12" spans="1:15" x14ac:dyDescent="0.25">
      <c r="A12" s="134">
        <v>37059</v>
      </c>
      <c r="B12" s="85" t="s">
        <v>250</v>
      </c>
      <c r="C12" s="135">
        <v>8000</v>
      </c>
      <c r="D12" s="133">
        <v>12</v>
      </c>
      <c r="E12" s="136">
        <f t="shared" si="0"/>
        <v>1.2000000000000002</v>
      </c>
      <c r="F12" s="136">
        <f t="shared" si="1"/>
        <v>2.4000000000000004</v>
      </c>
      <c r="G12" s="137">
        <f t="shared" si="2"/>
        <v>15.6</v>
      </c>
      <c r="H12" s="138">
        <f t="shared" si="3"/>
        <v>124800</v>
      </c>
      <c r="I12" s="138">
        <f t="shared" si="4"/>
        <v>3744</v>
      </c>
      <c r="J12" s="138">
        <f t="shared" si="5"/>
        <v>121056</v>
      </c>
      <c r="K12" s="139">
        <f t="shared" si="6"/>
        <v>484224000</v>
      </c>
      <c r="L12" s="140">
        <f t="shared" si="7"/>
        <v>4842240</v>
      </c>
      <c r="O12" s="25"/>
    </row>
    <row r="13" spans="1:15" x14ac:dyDescent="0.25">
      <c r="A13" s="134">
        <v>37060</v>
      </c>
      <c r="B13" s="85" t="s">
        <v>251</v>
      </c>
      <c r="C13" s="135">
        <v>7000</v>
      </c>
      <c r="D13" s="133">
        <v>12</v>
      </c>
      <c r="E13" s="136">
        <f t="shared" si="0"/>
        <v>1.2000000000000002</v>
      </c>
      <c r="F13" s="136">
        <f t="shared" si="1"/>
        <v>2.4000000000000004</v>
      </c>
      <c r="G13" s="137">
        <f t="shared" si="2"/>
        <v>15.6</v>
      </c>
      <c r="H13" s="138">
        <f t="shared" si="3"/>
        <v>109200</v>
      </c>
      <c r="I13" s="138">
        <f t="shared" si="4"/>
        <v>3276</v>
      </c>
      <c r="J13" s="138">
        <f t="shared" si="5"/>
        <v>105924</v>
      </c>
      <c r="K13" s="139">
        <f t="shared" si="6"/>
        <v>423696000</v>
      </c>
      <c r="L13" s="140">
        <f t="shared" si="7"/>
        <v>4236960</v>
      </c>
      <c r="O13" s="25"/>
    </row>
    <row r="14" spans="1:15" x14ac:dyDescent="0.25">
      <c r="A14" s="134">
        <v>37061</v>
      </c>
      <c r="B14" s="85" t="s">
        <v>252</v>
      </c>
      <c r="C14" s="135">
        <v>600</v>
      </c>
      <c r="D14" s="133">
        <v>17</v>
      </c>
      <c r="E14" s="136">
        <f t="shared" si="0"/>
        <v>1.7000000000000002</v>
      </c>
      <c r="F14" s="136">
        <f t="shared" si="1"/>
        <v>3.4000000000000004</v>
      </c>
      <c r="G14" s="137">
        <f t="shared" si="2"/>
        <v>22.1</v>
      </c>
      <c r="H14" s="138">
        <f t="shared" si="3"/>
        <v>13260</v>
      </c>
      <c r="I14" s="138">
        <f t="shared" si="4"/>
        <v>132.6</v>
      </c>
      <c r="J14" s="138">
        <f t="shared" si="5"/>
        <v>13127.4</v>
      </c>
      <c r="K14" s="139">
        <f t="shared" si="6"/>
        <v>52509600</v>
      </c>
      <c r="L14" s="140">
        <f t="shared" si="7"/>
        <v>525096</v>
      </c>
      <c r="O14" s="25"/>
    </row>
    <row r="15" spans="1:15" x14ac:dyDescent="0.25">
      <c r="A15" s="134">
        <v>37062</v>
      </c>
      <c r="B15" s="85" t="s">
        <v>253</v>
      </c>
      <c r="C15" s="135">
        <v>650</v>
      </c>
      <c r="D15" s="133">
        <v>9</v>
      </c>
      <c r="E15" s="136">
        <f t="shared" si="0"/>
        <v>0.9</v>
      </c>
      <c r="F15" s="136">
        <f t="shared" si="1"/>
        <v>1.8</v>
      </c>
      <c r="G15" s="137">
        <f t="shared" si="2"/>
        <v>11.700000000000001</v>
      </c>
      <c r="H15" s="138">
        <f t="shared" si="3"/>
        <v>7605.0000000000009</v>
      </c>
      <c r="I15" s="138">
        <f t="shared" si="4"/>
        <v>76.050000000000011</v>
      </c>
      <c r="J15" s="138">
        <f t="shared" si="5"/>
        <v>7528.9500000000007</v>
      </c>
      <c r="K15" s="139">
        <f t="shared" si="6"/>
        <v>30115800.000000004</v>
      </c>
      <c r="L15" s="140">
        <f t="shared" si="7"/>
        <v>301158</v>
      </c>
      <c r="O15" s="25"/>
    </row>
    <row r="16" spans="1:15" x14ac:dyDescent="0.25">
      <c r="A16" s="134">
        <v>37063</v>
      </c>
      <c r="B16" s="85" t="s">
        <v>254</v>
      </c>
      <c r="C16" s="135">
        <v>500</v>
      </c>
      <c r="D16" s="133">
        <v>9</v>
      </c>
      <c r="E16" s="136">
        <f t="shared" si="0"/>
        <v>0.9</v>
      </c>
      <c r="F16" s="136">
        <f t="shared" si="1"/>
        <v>1.8</v>
      </c>
      <c r="G16" s="137">
        <f t="shared" si="2"/>
        <v>11.700000000000001</v>
      </c>
      <c r="H16" s="138">
        <f t="shared" si="3"/>
        <v>5850.0000000000009</v>
      </c>
      <c r="I16" s="138">
        <f t="shared" si="4"/>
        <v>58.500000000000007</v>
      </c>
      <c r="J16" s="138">
        <f t="shared" si="5"/>
        <v>5791.5000000000009</v>
      </c>
      <c r="K16" s="139">
        <f t="shared" si="6"/>
        <v>23166000.000000004</v>
      </c>
      <c r="L16" s="140">
        <f t="shared" si="7"/>
        <v>231660.00000000003</v>
      </c>
      <c r="O16" s="25"/>
    </row>
    <row r="17" spans="1:15" x14ac:dyDescent="0.25">
      <c r="A17" s="134">
        <v>37064</v>
      </c>
      <c r="B17" s="85" t="s">
        <v>255</v>
      </c>
      <c r="C17" s="135">
        <v>1500</v>
      </c>
      <c r="D17" s="133">
        <v>7</v>
      </c>
      <c r="E17" s="136">
        <f t="shared" si="0"/>
        <v>0.70000000000000007</v>
      </c>
      <c r="F17" s="136">
        <f t="shared" si="1"/>
        <v>1.4000000000000001</v>
      </c>
      <c r="G17" s="137">
        <f t="shared" si="2"/>
        <v>9.1</v>
      </c>
      <c r="H17" s="138">
        <f t="shared" si="3"/>
        <v>13650</v>
      </c>
      <c r="I17" s="138">
        <f t="shared" si="4"/>
        <v>136.5</v>
      </c>
      <c r="J17" s="138">
        <f t="shared" si="5"/>
        <v>13513.5</v>
      </c>
      <c r="K17" s="139">
        <f t="shared" si="6"/>
        <v>54054000</v>
      </c>
      <c r="L17" s="140">
        <f t="shared" si="7"/>
        <v>540540</v>
      </c>
      <c r="O17" s="25"/>
    </row>
    <row r="18" spans="1:15" x14ac:dyDescent="0.25">
      <c r="A18" s="134">
        <v>37065</v>
      </c>
      <c r="B18" s="85" t="s">
        <v>256</v>
      </c>
      <c r="C18" s="135">
        <v>800</v>
      </c>
      <c r="D18" s="133">
        <v>7</v>
      </c>
      <c r="E18" s="136">
        <f t="shared" si="0"/>
        <v>0.70000000000000007</v>
      </c>
      <c r="F18" s="136">
        <f t="shared" si="1"/>
        <v>1.4000000000000001</v>
      </c>
      <c r="G18" s="137">
        <f t="shared" si="2"/>
        <v>9.1</v>
      </c>
      <c r="H18" s="138">
        <f t="shared" si="3"/>
        <v>7280</v>
      </c>
      <c r="I18" s="138">
        <f t="shared" si="4"/>
        <v>72.8</v>
      </c>
      <c r="J18" s="138">
        <f t="shared" si="5"/>
        <v>7207.2</v>
      </c>
      <c r="K18" s="139">
        <f t="shared" si="6"/>
        <v>28828800</v>
      </c>
      <c r="L18" s="140">
        <f t="shared" si="7"/>
        <v>288288</v>
      </c>
      <c r="O18" s="25"/>
    </row>
    <row r="19" spans="1:15" x14ac:dyDescent="0.25">
      <c r="A19" s="134">
        <v>37066</v>
      </c>
      <c r="B19" s="85" t="s">
        <v>257</v>
      </c>
      <c r="C19" s="135">
        <v>750</v>
      </c>
      <c r="D19" s="133">
        <v>7</v>
      </c>
      <c r="E19" s="136">
        <f t="shared" si="0"/>
        <v>0.70000000000000007</v>
      </c>
      <c r="F19" s="136">
        <f t="shared" si="1"/>
        <v>1.4000000000000001</v>
      </c>
      <c r="G19" s="137">
        <f t="shared" si="2"/>
        <v>9.1</v>
      </c>
      <c r="H19" s="138">
        <f t="shared" si="3"/>
        <v>6825</v>
      </c>
      <c r="I19" s="138">
        <f t="shared" si="4"/>
        <v>68.25</v>
      </c>
      <c r="J19" s="138">
        <f t="shared" si="5"/>
        <v>6756.75</v>
      </c>
      <c r="K19" s="139">
        <f t="shared" si="6"/>
        <v>27027000</v>
      </c>
      <c r="L19" s="140">
        <f t="shared" si="7"/>
        <v>270270</v>
      </c>
      <c r="O19" s="25"/>
    </row>
    <row r="20" spans="1:15" x14ac:dyDescent="0.25">
      <c r="A20" s="134">
        <v>37067</v>
      </c>
      <c r="B20" s="85" t="s">
        <v>248</v>
      </c>
      <c r="C20" s="135">
        <v>900</v>
      </c>
      <c r="D20" s="133">
        <v>15</v>
      </c>
      <c r="E20" s="136">
        <f t="shared" si="0"/>
        <v>1.5</v>
      </c>
      <c r="F20" s="136">
        <f t="shared" si="1"/>
        <v>3</v>
      </c>
      <c r="G20" s="137">
        <f t="shared" si="2"/>
        <v>19.5</v>
      </c>
      <c r="H20" s="138">
        <f t="shared" si="3"/>
        <v>17550</v>
      </c>
      <c r="I20" s="138">
        <f t="shared" si="4"/>
        <v>175.5</v>
      </c>
      <c r="J20" s="138">
        <f t="shared" si="5"/>
        <v>17374.5</v>
      </c>
      <c r="K20" s="139">
        <f t="shared" si="6"/>
        <v>69498000</v>
      </c>
      <c r="L20" s="140">
        <f t="shared" si="7"/>
        <v>694980</v>
      </c>
      <c r="O20" s="25"/>
    </row>
    <row r="21" spans="1:15" x14ac:dyDescent="0.25">
      <c r="A21" s="134">
        <v>37068</v>
      </c>
      <c r="B21" s="85" t="s">
        <v>249</v>
      </c>
      <c r="C21" s="135">
        <v>1000</v>
      </c>
      <c r="D21" s="133">
        <v>20</v>
      </c>
      <c r="E21" s="136">
        <f t="shared" si="0"/>
        <v>2</v>
      </c>
      <c r="F21" s="136">
        <f t="shared" si="1"/>
        <v>4</v>
      </c>
      <c r="G21" s="137">
        <f t="shared" si="2"/>
        <v>26</v>
      </c>
      <c r="H21" s="138">
        <f t="shared" si="3"/>
        <v>26000</v>
      </c>
      <c r="I21" s="138">
        <f t="shared" si="4"/>
        <v>260</v>
      </c>
      <c r="J21" s="138">
        <f t="shared" si="5"/>
        <v>25740</v>
      </c>
      <c r="K21" s="139">
        <f t="shared" si="6"/>
        <v>102960000</v>
      </c>
      <c r="L21" s="140">
        <f t="shared" si="7"/>
        <v>1029600</v>
      </c>
      <c r="O21" s="25"/>
    </row>
    <row r="22" spans="1:15" x14ac:dyDescent="0.25">
      <c r="A22" s="134">
        <v>37069</v>
      </c>
      <c r="B22" s="85" t="s">
        <v>250</v>
      </c>
      <c r="C22" s="135">
        <v>550</v>
      </c>
      <c r="D22" s="133">
        <v>12</v>
      </c>
      <c r="E22" s="136">
        <f t="shared" si="0"/>
        <v>1.2000000000000002</v>
      </c>
      <c r="F22" s="136">
        <f t="shared" si="1"/>
        <v>2.4000000000000004</v>
      </c>
      <c r="G22" s="137">
        <f t="shared" si="2"/>
        <v>15.6</v>
      </c>
      <c r="H22" s="138">
        <f t="shared" si="3"/>
        <v>8580</v>
      </c>
      <c r="I22" s="138">
        <f t="shared" si="4"/>
        <v>85.8</v>
      </c>
      <c r="J22" s="138">
        <f t="shared" si="5"/>
        <v>8494.2000000000007</v>
      </c>
      <c r="K22" s="139">
        <f t="shared" si="6"/>
        <v>33976800</v>
      </c>
      <c r="L22" s="140">
        <f t="shared" si="7"/>
        <v>339768</v>
      </c>
      <c r="O22" s="25"/>
    </row>
    <row r="23" spans="1:15" ht="27.75" x14ac:dyDescent="0.85">
      <c r="A23" s="142" t="s">
        <v>232</v>
      </c>
      <c r="B23" s="97"/>
      <c r="C23" s="97"/>
      <c r="D23" s="97"/>
      <c r="E23" s="97"/>
      <c r="F23" s="97"/>
      <c r="G23" s="97"/>
      <c r="H23" s="332" t="s">
        <v>258</v>
      </c>
      <c r="I23" s="332"/>
      <c r="J23" s="332"/>
      <c r="K23" s="332"/>
      <c r="L23" s="333"/>
      <c r="O23" s="25"/>
    </row>
    <row r="24" spans="1:15" ht="26.25" x14ac:dyDescent="0.25">
      <c r="A24" s="328" t="s">
        <v>259</v>
      </c>
      <c r="B24" s="329"/>
      <c r="C24" s="92"/>
      <c r="D24" s="295" t="s">
        <v>260</v>
      </c>
      <c r="E24" s="295"/>
      <c r="F24" s="295"/>
      <c r="G24" s="295"/>
      <c r="H24" s="295" t="s">
        <v>261</v>
      </c>
      <c r="I24" s="295"/>
      <c r="J24" s="295"/>
      <c r="K24" s="295"/>
      <c r="L24" s="296"/>
      <c r="O24" s="25"/>
    </row>
    <row r="25" spans="1:15" ht="26.25" x14ac:dyDescent="0.25">
      <c r="A25" s="328" t="s">
        <v>262</v>
      </c>
      <c r="B25" s="329"/>
      <c r="C25" s="92"/>
      <c r="D25" s="295" t="s">
        <v>263</v>
      </c>
      <c r="E25" s="295"/>
      <c r="F25" s="295"/>
      <c r="G25" s="295"/>
      <c r="H25" s="295" t="s">
        <v>264</v>
      </c>
      <c r="I25" s="295"/>
      <c r="J25" s="295"/>
      <c r="K25" s="295"/>
      <c r="L25" s="296"/>
      <c r="O25" s="25"/>
    </row>
    <row r="26" spans="1:15" ht="26.25" x14ac:dyDescent="0.25">
      <c r="A26" s="328" t="s">
        <v>265</v>
      </c>
      <c r="B26" s="329"/>
      <c r="C26" s="92"/>
      <c r="D26" s="295" t="s">
        <v>266</v>
      </c>
      <c r="E26" s="295"/>
      <c r="F26" s="295"/>
      <c r="G26" s="295"/>
      <c r="H26" s="295" t="s">
        <v>267</v>
      </c>
      <c r="I26" s="295"/>
      <c r="J26" s="295"/>
      <c r="K26" s="295"/>
      <c r="L26" s="296"/>
    </row>
    <row r="27" spans="1:15" ht="26.25" x14ac:dyDescent="0.25">
      <c r="A27" s="328" t="s">
        <v>340</v>
      </c>
      <c r="B27" s="329"/>
      <c r="C27" s="92"/>
      <c r="D27" s="295" t="s">
        <v>268</v>
      </c>
      <c r="E27" s="295"/>
      <c r="F27" s="295"/>
      <c r="G27" s="295"/>
      <c r="H27" s="329"/>
      <c r="I27" s="329"/>
      <c r="J27" s="329"/>
      <c r="K27" s="329"/>
      <c r="L27" s="330"/>
    </row>
    <row r="28" spans="1:15" ht="26.25" x14ac:dyDescent="0.25">
      <c r="A28" s="328" t="s">
        <v>269</v>
      </c>
      <c r="B28" s="329"/>
      <c r="C28" s="92"/>
      <c r="D28" s="295" t="s">
        <v>270</v>
      </c>
      <c r="E28" s="295"/>
      <c r="F28" s="295"/>
      <c r="G28" s="295"/>
      <c r="H28" s="329"/>
      <c r="I28" s="329"/>
      <c r="J28" s="329"/>
      <c r="K28" s="329"/>
      <c r="L28" s="330"/>
    </row>
    <row r="29" spans="1:15" ht="26.25" x14ac:dyDescent="0.25">
      <c r="A29" s="143" t="s">
        <v>341</v>
      </c>
      <c r="B29" s="45"/>
      <c r="C29" s="95"/>
      <c r="D29" s="331" t="s">
        <v>271</v>
      </c>
      <c r="E29" s="331"/>
      <c r="F29" s="331"/>
      <c r="G29" s="331"/>
      <c r="H29" s="298"/>
      <c r="I29" s="298"/>
      <c r="J29" s="298"/>
      <c r="K29" s="298"/>
      <c r="L29" s="299"/>
    </row>
  </sheetData>
  <mergeCells count="28">
    <mergeCell ref="A1:L1"/>
    <mergeCell ref="A8:A9"/>
    <mergeCell ref="B8:B9"/>
    <mergeCell ref="C8:D8"/>
    <mergeCell ref="E8:E9"/>
    <mergeCell ref="F8:F9"/>
    <mergeCell ref="G8:G9"/>
    <mergeCell ref="H8:H9"/>
    <mergeCell ref="I8:I9"/>
    <mergeCell ref="J8:L8"/>
    <mergeCell ref="H23:L23"/>
    <mergeCell ref="A24:B24"/>
    <mergeCell ref="D24:G24"/>
    <mergeCell ref="H24:L24"/>
    <mergeCell ref="A25:B25"/>
    <mergeCell ref="D25:G25"/>
    <mergeCell ref="H25:L25"/>
    <mergeCell ref="A26:B26"/>
    <mergeCell ref="D26:G26"/>
    <mergeCell ref="H26:L26"/>
    <mergeCell ref="A27:B27"/>
    <mergeCell ref="D27:G27"/>
    <mergeCell ref="H27:L27"/>
    <mergeCell ref="A28:B28"/>
    <mergeCell ref="D28:G28"/>
    <mergeCell ref="H28:L28"/>
    <mergeCell ref="D29:G29"/>
    <mergeCell ref="H29:L29"/>
  </mergeCells>
  <pageMargins left="0.25" right="0.25" top="0.75" bottom="0.75" header="0.3" footer="0.3"/>
  <pageSetup paperSize="9" scale="72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34"/>
  <sheetViews>
    <sheetView workbookViewId="0">
      <selection activeCell="J38" sqref="J38"/>
    </sheetView>
  </sheetViews>
  <sheetFormatPr defaultRowHeight="15" x14ac:dyDescent="0.25"/>
  <cols>
    <col min="1" max="1" width="5.28515625" customWidth="1"/>
    <col min="2" max="2" width="13" customWidth="1"/>
    <col min="3" max="3" width="11.140625" customWidth="1"/>
    <col min="4" max="4" width="10.5703125" customWidth="1"/>
    <col min="5" max="5" width="10.7109375" customWidth="1"/>
    <col min="6" max="6" width="14.7109375" customWidth="1"/>
    <col min="7" max="9" width="10.7109375" customWidth="1"/>
    <col min="10" max="10" width="14.7109375" customWidth="1"/>
    <col min="11" max="11" width="9.85546875" customWidth="1"/>
    <col min="12" max="12" width="14.85546875" customWidth="1"/>
    <col min="13" max="13" width="10.140625" customWidth="1"/>
  </cols>
  <sheetData>
    <row r="1" spans="1:16" ht="15" customHeight="1" x14ac:dyDescent="0.25">
      <c r="A1" s="351" t="s">
        <v>275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2" spans="1:16" x14ac:dyDescent="0.25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</row>
    <row r="3" spans="1:16" x14ac:dyDescent="0.25">
      <c r="A3" s="351"/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</row>
    <row r="4" spans="1:16" ht="15.75" thickBot="1" x14ac:dyDescent="0.3">
      <c r="A4" s="147"/>
      <c r="B4" s="148" t="s">
        <v>276</v>
      </c>
      <c r="C4" s="147"/>
      <c r="D4" s="147"/>
      <c r="E4" s="147"/>
      <c r="F4" s="352" t="s">
        <v>277</v>
      </c>
      <c r="G4" s="352"/>
      <c r="H4" s="352"/>
      <c r="I4" s="352"/>
      <c r="J4" s="147"/>
      <c r="K4" s="147"/>
      <c r="L4" s="147"/>
      <c r="M4" s="147"/>
    </row>
    <row r="5" spans="1:16" s="145" customFormat="1" ht="15.75" thickTop="1" x14ac:dyDescent="0.25">
      <c r="A5" s="353"/>
      <c r="B5" s="354" t="s">
        <v>278</v>
      </c>
      <c r="C5" s="355" t="s">
        <v>279</v>
      </c>
      <c r="D5" s="356"/>
      <c r="E5" s="356"/>
      <c r="F5" s="356"/>
      <c r="G5" s="356"/>
      <c r="H5" s="356"/>
      <c r="I5" s="357"/>
      <c r="J5" s="353" t="s">
        <v>280</v>
      </c>
      <c r="K5" s="353" t="s">
        <v>223</v>
      </c>
      <c r="L5" s="353" t="s">
        <v>222</v>
      </c>
      <c r="M5" s="353" t="s">
        <v>281</v>
      </c>
    </row>
    <row r="6" spans="1:16" s="145" customFormat="1" x14ac:dyDescent="0.25">
      <c r="A6" s="306"/>
      <c r="B6" s="306"/>
      <c r="C6" s="85" t="s">
        <v>282</v>
      </c>
      <c r="D6" s="85" t="s">
        <v>283</v>
      </c>
      <c r="E6" s="85" t="s">
        <v>284</v>
      </c>
      <c r="F6" s="85" t="s">
        <v>285</v>
      </c>
      <c r="G6" s="85" t="s">
        <v>286</v>
      </c>
      <c r="H6" s="85" t="s">
        <v>287</v>
      </c>
      <c r="I6" s="85" t="s">
        <v>288</v>
      </c>
      <c r="J6" s="306"/>
      <c r="K6" s="306"/>
      <c r="L6" s="306"/>
      <c r="M6" s="306"/>
    </row>
    <row r="7" spans="1:16" x14ac:dyDescent="0.25">
      <c r="A7" s="85">
        <v>1</v>
      </c>
      <c r="B7" s="85" t="s">
        <v>289</v>
      </c>
      <c r="C7" s="135">
        <v>50</v>
      </c>
      <c r="D7" s="135">
        <v>150</v>
      </c>
      <c r="E7" s="135">
        <v>220</v>
      </c>
      <c r="F7" s="135">
        <v>60</v>
      </c>
      <c r="G7" s="135">
        <v>85</v>
      </c>
      <c r="H7" s="135">
        <v>350</v>
      </c>
      <c r="I7" s="135">
        <v>450</v>
      </c>
      <c r="J7" s="149">
        <f>SUM(C7:I7)</f>
        <v>1365</v>
      </c>
      <c r="K7" s="149">
        <f>MAX(C7:I7)</f>
        <v>450</v>
      </c>
      <c r="L7" s="149">
        <f>MIN(C7:I7)</f>
        <v>50</v>
      </c>
      <c r="M7" s="149">
        <f>AVERAGE(C7:I7)</f>
        <v>195</v>
      </c>
    </row>
    <row r="8" spans="1:16" x14ac:dyDescent="0.25">
      <c r="A8" s="85">
        <v>2</v>
      </c>
      <c r="B8" s="85" t="s">
        <v>251</v>
      </c>
      <c r="C8" s="135">
        <v>80</v>
      </c>
      <c r="D8" s="135">
        <v>170</v>
      </c>
      <c r="E8" s="135">
        <v>200</v>
      </c>
      <c r="F8" s="135">
        <v>150</v>
      </c>
      <c r="G8" s="135">
        <v>60</v>
      </c>
      <c r="H8" s="135">
        <v>250</v>
      </c>
      <c r="I8" s="135">
        <v>400</v>
      </c>
      <c r="J8" s="149">
        <f t="shared" ref="J8:J16" si="0">SUM(C8:I8)</f>
        <v>1310</v>
      </c>
      <c r="K8" s="149">
        <f t="shared" ref="K8:K16" si="1">MAX(C8:I8)</f>
        <v>400</v>
      </c>
      <c r="L8" s="149">
        <f t="shared" ref="L8:L16" si="2">MIN(C8:I8)</f>
        <v>60</v>
      </c>
      <c r="M8" s="149">
        <f t="shared" ref="M8:M16" si="3">AVERAGE(C8:I8)</f>
        <v>187.14285714285714</v>
      </c>
      <c r="P8" s="150"/>
    </row>
    <row r="9" spans="1:16" x14ac:dyDescent="0.25">
      <c r="A9" s="85">
        <v>3</v>
      </c>
      <c r="B9" s="85" t="s">
        <v>249</v>
      </c>
      <c r="C9" s="135">
        <v>60</v>
      </c>
      <c r="D9" s="135">
        <v>85</v>
      </c>
      <c r="E9" s="135">
        <v>160</v>
      </c>
      <c r="F9" s="135">
        <v>180</v>
      </c>
      <c r="G9" s="135">
        <v>90</v>
      </c>
      <c r="H9" s="135">
        <v>150</v>
      </c>
      <c r="I9" s="135">
        <v>350</v>
      </c>
      <c r="J9" s="149">
        <f t="shared" si="0"/>
        <v>1075</v>
      </c>
      <c r="K9" s="149">
        <f t="shared" si="1"/>
        <v>350</v>
      </c>
      <c r="L9" s="149">
        <f t="shared" si="2"/>
        <v>60</v>
      </c>
      <c r="M9" s="149">
        <f t="shared" si="3"/>
        <v>153.57142857142858</v>
      </c>
    </row>
    <row r="10" spans="1:16" x14ac:dyDescent="0.25">
      <c r="A10" s="85">
        <v>4</v>
      </c>
      <c r="B10" s="85" t="s">
        <v>248</v>
      </c>
      <c r="C10" s="135">
        <v>20</v>
      </c>
      <c r="D10" s="135">
        <v>45</v>
      </c>
      <c r="E10" s="135">
        <v>130</v>
      </c>
      <c r="F10" s="135">
        <v>120</v>
      </c>
      <c r="G10" s="135">
        <v>50</v>
      </c>
      <c r="H10" s="135">
        <v>230</v>
      </c>
      <c r="I10" s="135">
        <v>300</v>
      </c>
      <c r="J10" s="149">
        <f t="shared" si="0"/>
        <v>895</v>
      </c>
      <c r="K10" s="149">
        <f t="shared" si="1"/>
        <v>300</v>
      </c>
      <c r="L10" s="149">
        <f t="shared" si="2"/>
        <v>20</v>
      </c>
      <c r="M10" s="149">
        <f t="shared" si="3"/>
        <v>127.85714285714286</v>
      </c>
    </row>
    <row r="11" spans="1:16" x14ac:dyDescent="0.25">
      <c r="A11" s="85">
        <v>5</v>
      </c>
      <c r="B11" s="85" t="s">
        <v>254</v>
      </c>
      <c r="C11" s="135">
        <v>40</v>
      </c>
      <c r="D11" s="135">
        <v>30</v>
      </c>
      <c r="E11" s="135">
        <v>250</v>
      </c>
      <c r="F11" s="135">
        <v>75</v>
      </c>
      <c r="G11" s="135">
        <v>70</v>
      </c>
      <c r="H11" s="135">
        <v>95</v>
      </c>
      <c r="I11" s="135">
        <v>250</v>
      </c>
      <c r="J11" s="149">
        <f t="shared" si="0"/>
        <v>810</v>
      </c>
      <c r="K11" s="149">
        <f t="shared" si="1"/>
        <v>250</v>
      </c>
      <c r="L11" s="149">
        <f t="shared" si="2"/>
        <v>30</v>
      </c>
      <c r="M11" s="149">
        <f t="shared" si="3"/>
        <v>115.71428571428571</v>
      </c>
    </row>
    <row r="12" spans="1:16" x14ac:dyDescent="0.25">
      <c r="A12" s="85">
        <v>6</v>
      </c>
      <c r="B12" s="85" t="s">
        <v>256</v>
      </c>
      <c r="C12" s="135">
        <v>10</v>
      </c>
      <c r="D12" s="135">
        <v>90</v>
      </c>
      <c r="E12" s="135">
        <v>60</v>
      </c>
      <c r="F12" s="135">
        <v>80</v>
      </c>
      <c r="G12" s="135">
        <v>100</v>
      </c>
      <c r="H12" s="135">
        <v>50</v>
      </c>
      <c r="I12" s="135">
        <v>100</v>
      </c>
      <c r="J12" s="149">
        <f t="shared" si="0"/>
        <v>490</v>
      </c>
      <c r="K12" s="149">
        <f t="shared" si="1"/>
        <v>100</v>
      </c>
      <c r="L12" s="149">
        <f t="shared" si="2"/>
        <v>10</v>
      </c>
      <c r="M12" s="149">
        <f t="shared" si="3"/>
        <v>70</v>
      </c>
    </row>
    <row r="13" spans="1:16" x14ac:dyDescent="0.25">
      <c r="A13" s="85">
        <v>7</v>
      </c>
      <c r="B13" s="85" t="s">
        <v>255</v>
      </c>
      <c r="C13" s="135">
        <v>25</v>
      </c>
      <c r="D13" s="135">
        <v>100</v>
      </c>
      <c r="E13" s="135">
        <v>45</v>
      </c>
      <c r="F13" s="135">
        <v>65</v>
      </c>
      <c r="G13" s="135">
        <v>150</v>
      </c>
      <c r="H13" s="135">
        <v>160</v>
      </c>
      <c r="I13" s="135">
        <v>85</v>
      </c>
      <c r="J13" s="149">
        <f t="shared" si="0"/>
        <v>630</v>
      </c>
      <c r="K13" s="149">
        <f t="shared" si="1"/>
        <v>160</v>
      </c>
      <c r="L13" s="149">
        <f t="shared" si="2"/>
        <v>25</v>
      </c>
      <c r="M13" s="149">
        <f t="shared" si="3"/>
        <v>90</v>
      </c>
    </row>
    <row r="14" spans="1:16" x14ac:dyDescent="0.25">
      <c r="A14" s="85">
        <v>8</v>
      </c>
      <c r="B14" s="85" t="s">
        <v>253</v>
      </c>
      <c r="C14" s="135">
        <v>100</v>
      </c>
      <c r="D14" s="135">
        <v>200</v>
      </c>
      <c r="E14" s="135">
        <v>80</v>
      </c>
      <c r="F14" s="135">
        <v>50</v>
      </c>
      <c r="G14" s="135">
        <v>120</v>
      </c>
      <c r="H14" s="135">
        <v>120</v>
      </c>
      <c r="I14" s="135">
        <v>170</v>
      </c>
      <c r="J14" s="149">
        <f t="shared" si="0"/>
        <v>840</v>
      </c>
      <c r="K14" s="149">
        <f t="shared" si="1"/>
        <v>200</v>
      </c>
      <c r="L14" s="149">
        <f t="shared" si="2"/>
        <v>50</v>
      </c>
      <c r="M14" s="149">
        <f t="shared" si="3"/>
        <v>120</v>
      </c>
    </row>
    <row r="15" spans="1:16" x14ac:dyDescent="0.25">
      <c r="A15" s="85">
        <v>9</v>
      </c>
      <c r="B15" s="85" t="s">
        <v>250</v>
      </c>
      <c r="C15" s="135">
        <v>75</v>
      </c>
      <c r="D15" s="135">
        <v>150</v>
      </c>
      <c r="E15" s="135">
        <v>70</v>
      </c>
      <c r="F15" s="135">
        <v>120</v>
      </c>
      <c r="G15" s="135">
        <v>85</v>
      </c>
      <c r="H15" s="135">
        <v>80</v>
      </c>
      <c r="I15" s="135">
        <v>80</v>
      </c>
      <c r="J15" s="149">
        <f t="shared" si="0"/>
        <v>660</v>
      </c>
      <c r="K15" s="149">
        <f t="shared" si="1"/>
        <v>150</v>
      </c>
      <c r="L15" s="149">
        <f t="shared" si="2"/>
        <v>70</v>
      </c>
      <c r="M15" s="149">
        <f t="shared" si="3"/>
        <v>94.285714285714292</v>
      </c>
    </row>
    <row r="16" spans="1:16" x14ac:dyDescent="0.25">
      <c r="A16" s="85">
        <v>10</v>
      </c>
      <c r="B16" s="85" t="s">
        <v>257</v>
      </c>
      <c r="C16" s="135">
        <v>95</v>
      </c>
      <c r="D16" s="135">
        <v>10</v>
      </c>
      <c r="E16" s="135">
        <v>50</v>
      </c>
      <c r="F16" s="135">
        <v>140</v>
      </c>
      <c r="G16" s="135">
        <v>55</v>
      </c>
      <c r="H16" s="135">
        <v>40</v>
      </c>
      <c r="I16" s="135">
        <v>190</v>
      </c>
      <c r="J16" s="149">
        <f t="shared" si="0"/>
        <v>580</v>
      </c>
      <c r="K16" s="149">
        <f t="shared" si="1"/>
        <v>190</v>
      </c>
      <c r="L16" s="149">
        <f t="shared" si="2"/>
        <v>10</v>
      </c>
      <c r="M16" s="149">
        <f t="shared" si="3"/>
        <v>82.857142857142861</v>
      </c>
    </row>
    <row r="17" spans="1:13" ht="15.75" thickBot="1" x14ac:dyDescent="0.3">
      <c r="A17" s="340" t="s">
        <v>107</v>
      </c>
      <c r="B17" s="341"/>
      <c r="C17" s="151">
        <f>SUM(C7:C16)</f>
        <v>555</v>
      </c>
      <c r="D17" s="151">
        <f t="shared" ref="D17:M17" si="4">SUM(D7:D16)</f>
        <v>1030</v>
      </c>
      <c r="E17" s="151">
        <f t="shared" si="4"/>
        <v>1265</v>
      </c>
      <c r="F17" s="151">
        <f t="shared" si="4"/>
        <v>1040</v>
      </c>
      <c r="G17" s="151">
        <f t="shared" si="4"/>
        <v>865</v>
      </c>
      <c r="H17" s="151">
        <f t="shared" si="4"/>
        <v>1525</v>
      </c>
      <c r="I17" s="151">
        <f t="shared" si="4"/>
        <v>2375</v>
      </c>
      <c r="J17" s="151">
        <f t="shared" si="4"/>
        <v>8655</v>
      </c>
      <c r="K17" s="151">
        <f t="shared" si="4"/>
        <v>2550</v>
      </c>
      <c r="L17" s="151">
        <f t="shared" si="4"/>
        <v>385</v>
      </c>
      <c r="M17" s="151">
        <f t="shared" si="4"/>
        <v>1236.4285714285713</v>
      </c>
    </row>
    <row r="18" spans="1:13" ht="15.75" thickTop="1" x14ac:dyDescent="0.25">
      <c r="A18" s="342" t="s">
        <v>290</v>
      </c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4"/>
    </row>
    <row r="19" spans="1:13" x14ac:dyDescent="0.25">
      <c r="A19" s="345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7"/>
    </row>
    <row r="20" spans="1:13" x14ac:dyDescent="0.25">
      <c r="A20" s="345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7"/>
    </row>
    <row r="21" spans="1:13" x14ac:dyDescent="0.25">
      <c r="A21" s="345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7"/>
    </row>
    <row r="22" spans="1:13" x14ac:dyDescent="0.25">
      <c r="A22" s="348"/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50"/>
    </row>
    <row r="23" spans="1:13" x14ac:dyDescent="0.25">
      <c r="A23" s="305"/>
      <c r="B23" s="336" t="s">
        <v>278</v>
      </c>
      <c r="C23" s="317" t="s">
        <v>291</v>
      </c>
      <c r="D23" s="309"/>
      <c r="E23" s="305" t="s">
        <v>292</v>
      </c>
      <c r="F23" s="305" t="s">
        <v>293</v>
      </c>
      <c r="G23" s="317" t="s">
        <v>294</v>
      </c>
      <c r="H23" s="309"/>
      <c r="I23" s="305" t="s">
        <v>292</v>
      </c>
      <c r="J23" s="305" t="s">
        <v>293</v>
      </c>
      <c r="K23" s="336" t="s">
        <v>295</v>
      </c>
      <c r="L23" s="336" t="s">
        <v>296</v>
      </c>
      <c r="M23" s="336" t="s">
        <v>297</v>
      </c>
    </row>
    <row r="24" spans="1:13" x14ac:dyDescent="0.25">
      <c r="A24" s="306"/>
      <c r="B24" s="306"/>
      <c r="C24" s="85" t="s">
        <v>298</v>
      </c>
      <c r="D24" s="85" t="s">
        <v>299</v>
      </c>
      <c r="E24" s="306"/>
      <c r="F24" s="306"/>
      <c r="G24" s="85" t="s">
        <v>298</v>
      </c>
      <c r="H24" s="85" t="s">
        <v>299</v>
      </c>
      <c r="I24" s="306"/>
      <c r="J24" s="306"/>
      <c r="K24" s="306"/>
      <c r="L24" s="306"/>
      <c r="M24" s="306"/>
    </row>
    <row r="25" spans="1:13" x14ac:dyDescent="0.25">
      <c r="A25" s="85">
        <v>1</v>
      </c>
      <c r="B25" s="85" t="s">
        <v>289</v>
      </c>
      <c r="C25" s="135">
        <v>2200</v>
      </c>
      <c r="D25" s="152">
        <v>20</v>
      </c>
      <c r="E25" s="153">
        <f>C25*D25</f>
        <v>44000</v>
      </c>
      <c r="F25" s="154">
        <f>E25*4000</f>
        <v>176000000</v>
      </c>
      <c r="G25" s="85">
        <v>2000</v>
      </c>
      <c r="H25" s="155">
        <v>25</v>
      </c>
      <c r="I25" s="156">
        <f>G25*H25</f>
        <v>50000</v>
      </c>
      <c r="J25" s="154">
        <f>I25*4000</f>
        <v>200000000</v>
      </c>
      <c r="K25" s="157">
        <f>C25-G25</f>
        <v>200</v>
      </c>
      <c r="L25" s="154">
        <f>K25*H25*4000</f>
        <v>20000000</v>
      </c>
      <c r="M25" s="156">
        <f>K25*H25</f>
        <v>5000</v>
      </c>
    </row>
    <row r="26" spans="1:13" x14ac:dyDescent="0.25">
      <c r="A26" s="85">
        <v>2</v>
      </c>
      <c r="B26" s="85" t="s">
        <v>251</v>
      </c>
      <c r="C26" s="135">
        <v>1700</v>
      </c>
      <c r="D26" s="152">
        <v>10</v>
      </c>
      <c r="E26" s="153">
        <f t="shared" ref="E26:E31" si="5">C26*D26</f>
        <v>17000</v>
      </c>
      <c r="F26" s="154">
        <f t="shared" ref="F26:F31" si="6">E26*4000</f>
        <v>68000000</v>
      </c>
      <c r="G26" s="85">
        <v>1500</v>
      </c>
      <c r="H26" s="155">
        <v>33</v>
      </c>
      <c r="I26" s="156">
        <f t="shared" ref="I26:I31" si="7">G26*H26</f>
        <v>49500</v>
      </c>
      <c r="J26" s="154">
        <f t="shared" ref="J26:J31" si="8">I26*4000</f>
        <v>198000000</v>
      </c>
      <c r="K26" s="157">
        <f t="shared" ref="K26:K31" si="9">C26-G26</f>
        <v>200</v>
      </c>
      <c r="L26" s="154">
        <f t="shared" ref="L26:L31" si="10">K26*H26*4000</f>
        <v>26400000</v>
      </c>
      <c r="M26" s="156">
        <f t="shared" ref="M26:M31" si="11">K26*H26</f>
        <v>6600</v>
      </c>
    </row>
    <row r="27" spans="1:13" x14ac:dyDescent="0.25">
      <c r="A27" s="85">
        <v>3</v>
      </c>
      <c r="B27" s="85" t="s">
        <v>249</v>
      </c>
      <c r="C27" s="135">
        <v>1500</v>
      </c>
      <c r="D27" s="152">
        <v>20</v>
      </c>
      <c r="E27" s="153">
        <f t="shared" si="5"/>
        <v>30000</v>
      </c>
      <c r="F27" s="154">
        <f t="shared" si="6"/>
        <v>120000000</v>
      </c>
      <c r="G27" s="85">
        <v>1300</v>
      </c>
      <c r="H27" s="155">
        <v>27</v>
      </c>
      <c r="I27" s="156">
        <f t="shared" si="7"/>
        <v>35100</v>
      </c>
      <c r="J27" s="154">
        <f t="shared" si="8"/>
        <v>140400000</v>
      </c>
      <c r="K27" s="157">
        <f t="shared" si="9"/>
        <v>200</v>
      </c>
      <c r="L27" s="154">
        <f t="shared" si="10"/>
        <v>21600000</v>
      </c>
      <c r="M27" s="156">
        <f t="shared" si="11"/>
        <v>5400</v>
      </c>
    </row>
    <row r="28" spans="1:13" x14ac:dyDescent="0.25">
      <c r="A28" s="85">
        <v>4</v>
      </c>
      <c r="B28" s="85" t="s">
        <v>248</v>
      </c>
      <c r="C28" s="135">
        <v>1550</v>
      </c>
      <c r="D28" s="152">
        <v>15</v>
      </c>
      <c r="E28" s="153">
        <f t="shared" si="5"/>
        <v>23250</v>
      </c>
      <c r="F28" s="154">
        <f t="shared" si="6"/>
        <v>93000000</v>
      </c>
      <c r="G28" s="85">
        <v>1100</v>
      </c>
      <c r="H28" s="155">
        <v>17</v>
      </c>
      <c r="I28" s="156">
        <f t="shared" si="7"/>
        <v>18700</v>
      </c>
      <c r="J28" s="154">
        <f t="shared" si="8"/>
        <v>74800000</v>
      </c>
      <c r="K28" s="157">
        <f t="shared" si="9"/>
        <v>450</v>
      </c>
      <c r="L28" s="154">
        <f t="shared" si="10"/>
        <v>30600000</v>
      </c>
      <c r="M28" s="156">
        <f t="shared" si="11"/>
        <v>7650</v>
      </c>
    </row>
    <row r="29" spans="1:13" x14ac:dyDescent="0.25">
      <c r="A29" s="85">
        <v>5</v>
      </c>
      <c r="B29" s="85" t="s">
        <v>254</v>
      </c>
      <c r="C29" s="135">
        <v>1800</v>
      </c>
      <c r="D29" s="152">
        <v>9</v>
      </c>
      <c r="E29" s="153">
        <f t="shared" si="5"/>
        <v>16200</v>
      </c>
      <c r="F29" s="154">
        <f t="shared" si="6"/>
        <v>64800000</v>
      </c>
      <c r="G29" s="85">
        <v>1000</v>
      </c>
      <c r="H29" s="155">
        <v>22</v>
      </c>
      <c r="I29" s="156">
        <f t="shared" si="7"/>
        <v>22000</v>
      </c>
      <c r="J29" s="154">
        <f t="shared" si="8"/>
        <v>88000000</v>
      </c>
      <c r="K29" s="157">
        <f t="shared" si="9"/>
        <v>800</v>
      </c>
      <c r="L29" s="154">
        <f t="shared" si="10"/>
        <v>70400000</v>
      </c>
      <c r="M29" s="156">
        <f t="shared" si="11"/>
        <v>17600</v>
      </c>
    </row>
    <row r="30" spans="1:13" x14ac:dyDescent="0.25">
      <c r="A30" s="85">
        <v>6</v>
      </c>
      <c r="B30" s="85" t="s">
        <v>256</v>
      </c>
      <c r="C30" s="135">
        <v>1000</v>
      </c>
      <c r="D30" s="152">
        <v>12</v>
      </c>
      <c r="E30" s="153">
        <f t="shared" si="5"/>
        <v>12000</v>
      </c>
      <c r="F30" s="154">
        <f t="shared" si="6"/>
        <v>48000000</v>
      </c>
      <c r="G30" s="85">
        <v>900</v>
      </c>
      <c r="H30" s="155">
        <v>18</v>
      </c>
      <c r="I30" s="156">
        <f t="shared" si="7"/>
        <v>16200</v>
      </c>
      <c r="J30" s="154">
        <f t="shared" si="8"/>
        <v>64800000</v>
      </c>
      <c r="K30" s="157">
        <f t="shared" si="9"/>
        <v>100</v>
      </c>
      <c r="L30" s="154">
        <f t="shared" si="10"/>
        <v>7200000</v>
      </c>
      <c r="M30" s="156">
        <f t="shared" si="11"/>
        <v>1800</v>
      </c>
    </row>
    <row r="31" spans="1:13" x14ac:dyDescent="0.25">
      <c r="A31" s="85">
        <v>7</v>
      </c>
      <c r="B31" s="85" t="s">
        <v>257</v>
      </c>
      <c r="C31" s="135">
        <v>700</v>
      </c>
      <c r="D31" s="152">
        <v>9</v>
      </c>
      <c r="E31" s="153">
        <f t="shared" si="5"/>
        <v>6300</v>
      </c>
      <c r="F31" s="154">
        <f t="shared" si="6"/>
        <v>25200000</v>
      </c>
      <c r="G31" s="85">
        <v>150</v>
      </c>
      <c r="H31" s="155">
        <v>37</v>
      </c>
      <c r="I31" s="156">
        <f t="shared" si="7"/>
        <v>5550</v>
      </c>
      <c r="J31" s="154">
        <f t="shared" si="8"/>
        <v>22200000</v>
      </c>
      <c r="K31" s="157">
        <f t="shared" si="9"/>
        <v>550</v>
      </c>
      <c r="L31" s="154">
        <f t="shared" si="10"/>
        <v>81400000</v>
      </c>
      <c r="M31" s="156">
        <f t="shared" si="11"/>
        <v>20350</v>
      </c>
    </row>
    <row r="32" spans="1:13" x14ac:dyDescent="0.25">
      <c r="A32" s="85" t="s">
        <v>107</v>
      </c>
      <c r="B32" s="85"/>
      <c r="C32" s="158">
        <f t="shared" ref="C32:M32" si="12">SUM(C25:C31)</f>
        <v>10450</v>
      </c>
      <c r="D32" s="159">
        <f t="shared" si="12"/>
        <v>95</v>
      </c>
      <c r="E32" s="159">
        <f t="shared" si="12"/>
        <v>148750</v>
      </c>
      <c r="F32" s="160">
        <f t="shared" si="12"/>
        <v>595000000</v>
      </c>
      <c r="G32" s="161">
        <f t="shared" si="12"/>
        <v>7950</v>
      </c>
      <c r="H32" s="162">
        <f t="shared" si="12"/>
        <v>179</v>
      </c>
      <c r="I32" s="162">
        <f t="shared" si="12"/>
        <v>197050</v>
      </c>
      <c r="J32" s="160">
        <f t="shared" si="12"/>
        <v>788200000</v>
      </c>
      <c r="K32" s="161">
        <f t="shared" si="12"/>
        <v>2500</v>
      </c>
      <c r="L32" s="160">
        <f t="shared" si="12"/>
        <v>257600000</v>
      </c>
      <c r="M32" s="162">
        <f t="shared" si="12"/>
        <v>64400</v>
      </c>
    </row>
    <row r="33" spans="1:13" x14ac:dyDescent="0.25">
      <c r="A33" s="337"/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9"/>
    </row>
    <row r="34" spans="1:13" x14ac:dyDescent="0.25">
      <c r="A34" s="276"/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8"/>
    </row>
  </sheetData>
  <mergeCells count="23">
    <mergeCell ref="A1:M3"/>
    <mergeCell ref="F4:I4"/>
    <mergeCell ref="A5:A6"/>
    <mergeCell ref="B5:B6"/>
    <mergeCell ref="C5:I5"/>
    <mergeCell ref="J5:J6"/>
    <mergeCell ref="K5:K6"/>
    <mergeCell ref="L5:L6"/>
    <mergeCell ref="M5:M6"/>
    <mergeCell ref="K23:K24"/>
    <mergeCell ref="L23:L24"/>
    <mergeCell ref="M23:M24"/>
    <mergeCell ref="A33:M34"/>
    <mergeCell ref="A17:B17"/>
    <mergeCell ref="A18:M22"/>
    <mergeCell ref="A23:A24"/>
    <mergeCell ref="B23:B24"/>
    <mergeCell ref="C23:D23"/>
    <mergeCell ref="E23:E24"/>
    <mergeCell ref="F23:F24"/>
    <mergeCell ref="G23:H23"/>
    <mergeCell ref="I23:I24"/>
    <mergeCell ref="J23:J24"/>
  </mergeCells>
  <pageMargins left="0.25" right="0.25" top="0.75" bottom="0.75" header="0.3" footer="0.3"/>
  <pageSetup paperSize="9" scale="96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Lesson 01</vt:lpstr>
      <vt:lpstr>Lesson 02</vt:lpstr>
      <vt:lpstr>Lesson 03</vt:lpstr>
      <vt:lpstr>Lesson 04</vt:lpstr>
      <vt:lpstr>Lesson 05</vt:lpstr>
      <vt:lpstr>Lesson 06</vt:lpstr>
      <vt:lpstr>Lesson 07</vt:lpstr>
      <vt:lpstr>Lesson 08</vt:lpstr>
      <vt:lpstr>Lesson 09</vt:lpstr>
      <vt:lpstr>Lesson 10</vt:lpstr>
      <vt:lpstr>Lesson 11</vt:lpstr>
      <vt:lpstr>Lesson 12</vt:lpstr>
      <vt:lpstr>Lesson 13</vt:lpstr>
      <vt:lpstr>Lesson 14</vt:lpstr>
      <vt:lpstr>Lesson15</vt:lpstr>
      <vt:lpstr>Lesson 16</vt:lpstr>
      <vt:lpstr>Lesson 17</vt:lpstr>
      <vt:lpstr>Lesson 18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</dc:creator>
  <cp:lastModifiedBy>PC01</cp:lastModifiedBy>
  <cp:lastPrinted>2017-06-06T09:36:25Z</cp:lastPrinted>
  <dcterms:created xsi:type="dcterms:W3CDTF">2017-01-05T09:27:33Z</dcterms:created>
  <dcterms:modified xsi:type="dcterms:W3CDTF">2017-06-07T09:48:52Z</dcterms:modified>
</cp:coreProperties>
</file>